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6000" activeTab="0"/>
  </bookViews>
  <sheets>
    <sheet name="General" sheetId="1" r:id="rId1"/>
    <sheet name="Lat &amp; Long" sheetId="2" r:id="rId2"/>
    <sheet name="Drift" sheetId="3" r:id="rId3"/>
    <sheet name="DME Arc" sheetId="4" r:id="rId4"/>
    <sheet name="Gliding" sheetId="5" r:id="rId5"/>
    <sheet name="Sines of Angles" sheetId="6" r:id="rId6"/>
  </sheets>
  <definedNames>
    <definedName name="Degrees_to_radians">'Drift'!$N$5</definedName>
    <definedName name="Radians_to_degrees">'Drift'!$N$4</definedName>
  </definedNames>
  <calcPr fullCalcOnLoad="1"/>
</workbook>
</file>

<file path=xl/sharedStrings.xml><?xml version="1.0" encoding="utf-8"?>
<sst xmlns="http://schemas.openxmlformats.org/spreadsheetml/2006/main" count="259" uniqueCount="116">
  <si>
    <t>180 time</t>
  </si>
  <si>
    <t>Dist</t>
  </si>
  <si>
    <t>Speed</t>
  </si>
  <si>
    <t>Radius</t>
  </si>
  <si>
    <t>1/2 turn point</t>
  </si>
  <si>
    <t>Knots</t>
  </si>
  <si>
    <t>Minutes</t>
  </si>
  <si>
    <t>Miles</t>
  </si>
  <si>
    <t>1/2 turn dist</t>
  </si>
  <si>
    <t>From NDB</t>
  </si>
  <si>
    <t>Litres</t>
  </si>
  <si>
    <t>lbs</t>
  </si>
  <si>
    <t>Stones</t>
  </si>
  <si>
    <t>Imp galls</t>
  </si>
  <si>
    <t>Total</t>
  </si>
  <si>
    <t>Useable</t>
  </si>
  <si>
    <t>Glideslope</t>
  </si>
  <si>
    <t>Degrees</t>
  </si>
  <si>
    <t>Ft/mile</t>
  </si>
  <si>
    <t>Angle</t>
  </si>
  <si>
    <t>Cosine</t>
  </si>
  <si>
    <t>Miscellaneous Flight Formulae</t>
  </si>
  <si>
    <t>Turn calculations</t>
  </si>
  <si>
    <t>Distance</t>
  </si>
  <si>
    <t>Time</t>
  </si>
  <si>
    <t>Ground Speed</t>
  </si>
  <si>
    <t>knots</t>
  </si>
  <si>
    <t>Wind</t>
  </si>
  <si>
    <t>Heading</t>
  </si>
  <si>
    <t>%</t>
  </si>
  <si>
    <t>Airspeed</t>
  </si>
  <si>
    <t>Climb rate</t>
  </si>
  <si>
    <t>Climbout Gradient - Nil Wind</t>
  </si>
  <si>
    <t>ft/min</t>
  </si>
  <si>
    <t>US galls</t>
  </si>
  <si>
    <t>Km</t>
  </si>
  <si>
    <t>l/hr</t>
  </si>
  <si>
    <t>Imp gall/hr</t>
  </si>
  <si>
    <t>US gall/hr</t>
  </si>
  <si>
    <t>lbs/hr</t>
  </si>
  <si>
    <t>Avgas</t>
  </si>
  <si>
    <t>Avtur</t>
  </si>
  <si>
    <t>kg/litre</t>
  </si>
  <si>
    <t>7.2 lbs/Imp. Gall.</t>
  </si>
  <si>
    <t>MPH</t>
  </si>
  <si>
    <t>KPH</t>
  </si>
  <si>
    <t>Nm</t>
  </si>
  <si>
    <t>Mins</t>
  </si>
  <si>
    <t>St. Miles</t>
  </si>
  <si>
    <t>N. Miles</t>
  </si>
  <si>
    <t>in Hg</t>
  </si>
  <si>
    <t>Mb</t>
  </si>
  <si>
    <t>ISA</t>
  </si>
  <si>
    <t>DME Arc</t>
  </si>
  <si>
    <t>Turn rate</t>
  </si>
  <si>
    <t>nm</t>
  </si>
  <si>
    <t>Deg/min</t>
  </si>
  <si>
    <t>O/B Leg</t>
  </si>
  <si>
    <t>lbs/in2</t>
  </si>
  <si>
    <t>Kg/cm2</t>
  </si>
  <si>
    <t>Data entry is possible only in white cells.</t>
  </si>
  <si>
    <t>Sine</t>
  </si>
  <si>
    <t>Angle (Degrees)</t>
  </si>
  <si>
    <t>Kg</t>
  </si>
  <si>
    <t>Pounds</t>
  </si>
  <si>
    <t>AIRSPEED</t>
  </si>
  <si>
    <t>WEIGHT</t>
  </si>
  <si>
    <t>QNH</t>
  </si>
  <si>
    <t>DISTANCE</t>
  </si>
  <si>
    <t>FUEL</t>
  </si>
  <si>
    <t>TIME</t>
  </si>
  <si>
    <t>OIL PRESSURE</t>
  </si>
  <si>
    <t>INSTRUMENT FLYING</t>
  </si>
  <si>
    <t>Seconds</t>
  </si>
  <si>
    <t>TO</t>
  </si>
  <si>
    <t>Decimal Minutes</t>
  </si>
  <si>
    <t>Enter the data you want converting in the white cells.  Read the result in the pale blue cells.</t>
  </si>
  <si>
    <t>Latitude &amp; Longitude Conversion Tables</t>
  </si>
  <si>
    <t>Longitude</t>
  </si>
  <si>
    <t>Latitude</t>
  </si>
  <si>
    <t>CLIMB/DESCENT</t>
  </si>
  <si>
    <t>Km/hr</t>
  </si>
  <si>
    <t>Password:</t>
  </si>
  <si>
    <t>Boatname</t>
  </si>
  <si>
    <t>Version</t>
  </si>
  <si>
    <t>GLIDING</t>
  </si>
  <si>
    <t>GLIDE RATIO</t>
  </si>
  <si>
    <t>Glide</t>
  </si>
  <si>
    <t>Descent</t>
  </si>
  <si>
    <t>Ratio</t>
  </si>
  <si>
    <t>FINAL GLIDE</t>
  </si>
  <si>
    <t>Height</t>
  </si>
  <si>
    <t>m</t>
  </si>
  <si>
    <t>Ft</t>
  </si>
  <si>
    <t>Version 3.60</t>
  </si>
  <si>
    <t>GLIDE</t>
  </si>
  <si>
    <t>PERFORMANCE</t>
  </si>
  <si>
    <t>Ft/min</t>
  </si>
  <si>
    <t>Altitude</t>
  </si>
  <si>
    <t>Feet</t>
  </si>
  <si>
    <t>Groundspeed</t>
  </si>
  <si>
    <t>Km/Hr</t>
  </si>
  <si>
    <t>Rate</t>
  </si>
  <si>
    <t>Track</t>
  </si>
  <si>
    <t>Ground</t>
  </si>
  <si>
    <t>Drift</t>
  </si>
  <si>
    <t>DRIFT CALCULATOR</t>
  </si>
  <si>
    <t>Mag Var</t>
  </si>
  <si>
    <t>Direction</t>
  </si>
  <si>
    <t>Mag</t>
  </si>
  <si>
    <t>True</t>
  </si>
  <si>
    <t>DME ARC TURN CALCULATOR</t>
  </si>
  <si>
    <t>Arc</t>
  </si>
  <si>
    <t>Air</t>
  </si>
  <si>
    <t>Version 3.8</t>
  </si>
  <si>
    <t>0810/2012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</si>
</sst>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00"/>
    <numFmt numFmtId="172" formatCode="00"/>
    <numFmt numFmtId="173" formatCode="dd/mm/yyyy"/>
    <numFmt numFmtId="174" formatCode="0.0"/>
    <numFmt numFmtId="175" formatCode="##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color indexed="13"/>
      <name val="Arial"/>
      <family val="2"/>
    </font>
    <font>
      <b/>
      <sz val="10"/>
      <color indexed="13"/>
      <name val="Arial"/>
      <family val="2"/>
    </font>
    <font>
      <b/>
      <sz val="12"/>
      <color indexed="13"/>
      <name val="Arial"/>
      <family val="2"/>
    </font>
    <font>
      <sz val="9"/>
      <name val="Arial"/>
      <family val="0"/>
    </font>
    <font>
      <sz val="8.8"/>
      <name val="Arial"/>
      <family val="0"/>
    </font>
    <font>
      <sz val="16"/>
      <color indexed="8"/>
      <name val="Arial"/>
      <family val="2"/>
    </font>
    <font>
      <sz val="12"/>
      <name val="Arial"/>
      <family val="2"/>
    </font>
    <font>
      <b/>
      <sz val="16"/>
      <color indexed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0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ck"/>
      <top style="thin"/>
      <bottom style="thin"/>
    </border>
    <border>
      <left style="thin"/>
      <right style="thick"/>
      <top style="thin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 style="thick"/>
      <top style="medium"/>
      <bottom style="thin"/>
    </border>
    <border>
      <left style="thin"/>
      <right style="thick"/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n"/>
      <bottom>
        <color indexed="63"/>
      </bottom>
    </border>
    <border>
      <left style="thick"/>
      <right style="medium"/>
      <top style="medium"/>
      <bottom style="medium"/>
    </border>
    <border>
      <left style="thin"/>
      <right style="thick"/>
      <top style="medium"/>
      <bottom style="medium"/>
    </border>
    <border>
      <left style="thin"/>
      <right style="thick"/>
      <top>
        <color indexed="63"/>
      </top>
      <bottom style="thin"/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n"/>
      <bottom style="medium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>
        <color indexed="63"/>
      </right>
      <top style="medium"/>
      <bottom style="thick"/>
    </border>
    <border>
      <left style="thin"/>
      <right style="thick"/>
      <top style="medium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ck"/>
    </border>
    <border>
      <left>
        <color indexed="63"/>
      </left>
      <right style="thin"/>
      <top style="thick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3" borderId="0" applyNumberFormat="0" applyBorder="0" applyAlignment="0" applyProtection="0"/>
    <xf numFmtId="0" fontId="18" fillId="20" borderId="1" applyNumberFormat="0" applyAlignment="0" applyProtection="0"/>
    <xf numFmtId="0" fontId="1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7" borderId="1" applyNumberFormat="0" applyAlignment="0" applyProtection="0"/>
    <xf numFmtId="0" fontId="26" fillId="0" borderId="6" applyNumberFormat="0" applyFill="0" applyAlignment="0" applyProtection="0"/>
    <xf numFmtId="0" fontId="27" fillId="22" borderId="0" applyNumberFormat="0" applyBorder="0" applyAlignment="0" applyProtection="0"/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22" borderId="10" xfId="0" applyFill="1" applyBorder="1" applyAlignment="1" applyProtection="1">
      <alignment/>
      <protection/>
    </xf>
    <xf numFmtId="0" fontId="0" fillId="22" borderId="10" xfId="0" applyFill="1" applyBorder="1" applyAlignment="1" applyProtection="1">
      <alignment horizontal="center"/>
      <protection/>
    </xf>
    <xf numFmtId="0" fontId="0" fillId="22" borderId="11" xfId="0" applyFill="1" applyBorder="1" applyAlignment="1" applyProtection="1">
      <alignment horizontal="center"/>
      <protection/>
    </xf>
    <xf numFmtId="0" fontId="0" fillId="22" borderId="0" xfId="0" applyFill="1" applyBorder="1" applyAlignment="1" applyProtection="1">
      <alignment horizontal="center"/>
      <protection/>
    </xf>
    <xf numFmtId="0" fontId="0" fillId="22" borderId="0" xfId="0" applyFill="1" applyBorder="1" applyAlignment="1" applyProtection="1">
      <alignment/>
      <protection/>
    </xf>
    <xf numFmtId="0" fontId="0" fillId="22" borderId="12" xfId="0" applyFill="1" applyBorder="1" applyAlignment="1" applyProtection="1">
      <alignment horizontal="center"/>
      <protection/>
    </xf>
    <xf numFmtId="0" fontId="0" fillId="22" borderId="13" xfId="0" applyFill="1" applyBorder="1" applyAlignment="1" applyProtection="1">
      <alignment horizontal="center"/>
      <protection/>
    </xf>
    <xf numFmtId="2" fontId="0" fillId="22" borderId="13" xfId="0" applyNumberFormat="1" applyFill="1" applyBorder="1" applyAlignment="1" applyProtection="1">
      <alignment horizontal="center"/>
      <protection/>
    </xf>
    <xf numFmtId="2" fontId="0" fillId="22" borderId="13" xfId="0" applyNumberFormat="1" applyFill="1" applyBorder="1" applyAlignment="1" applyProtection="1">
      <alignment/>
      <protection/>
    </xf>
    <xf numFmtId="45" fontId="0" fillId="22" borderId="13" xfId="0" applyNumberFormat="1" applyFill="1" applyBorder="1" applyAlignment="1" applyProtection="1">
      <alignment horizontal="center"/>
      <protection/>
    </xf>
    <xf numFmtId="169" fontId="0" fillId="22" borderId="13" xfId="0" applyNumberFormat="1" applyFill="1" applyBorder="1" applyAlignment="1" applyProtection="1">
      <alignment horizontal="center"/>
      <protection/>
    </xf>
    <xf numFmtId="0" fontId="0" fillId="22" borderId="10" xfId="0" applyFill="1" applyBorder="1" applyAlignment="1" applyProtection="1">
      <alignment horizontal="center"/>
      <protection locked="0"/>
    </xf>
    <xf numFmtId="0" fontId="0" fillId="0" borderId="14" xfId="0" applyFill="1" applyBorder="1" applyAlignment="1" applyProtection="1">
      <alignment horizontal="center"/>
      <protection locked="0"/>
    </xf>
    <xf numFmtId="0" fontId="0" fillId="0" borderId="15" xfId="0" applyFill="1" applyBorder="1" applyAlignment="1" applyProtection="1">
      <alignment horizontal="center"/>
      <protection locked="0"/>
    </xf>
    <xf numFmtId="0" fontId="0" fillId="0" borderId="16" xfId="0" applyFill="1" applyBorder="1" applyAlignment="1" applyProtection="1">
      <alignment horizontal="center"/>
      <protection locked="0"/>
    </xf>
    <xf numFmtId="0" fontId="0" fillId="22" borderId="17" xfId="0" applyFill="1" applyBorder="1" applyAlignment="1" applyProtection="1">
      <alignment/>
      <protection/>
    </xf>
    <xf numFmtId="0" fontId="0" fillId="22" borderId="18" xfId="0" applyFill="1" applyBorder="1" applyAlignment="1" applyProtection="1">
      <alignment horizontal="center"/>
      <protection/>
    </xf>
    <xf numFmtId="0" fontId="0" fillId="22" borderId="19" xfId="0" applyFill="1" applyBorder="1" applyAlignment="1" applyProtection="1">
      <alignment horizontal="center"/>
      <protection/>
    </xf>
    <xf numFmtId="0" fontId="0" fillId="22" borderId="14" xfId="0" applyFill="1" applyBorder="1" applyAlignment="1" applyProtection="1">
      <alignment horizontal="center"/>
      <protection/>
    </xf>
    <xf numFmtId="0" fontId="0" fillId="22" borderId="20" xfId="0" applyFill="1" applyBorder="1" applyAlignment="1" applyProtection="1">
      <alignment/>
      <protection/>
    </xf>
    <xf numFmtId="0" fontId="0" fillId="22" borderId="19" xfId="0" applyFill="1" applyBorder="1" applyAlignment="1" applyProtection="1">
      <alignment/>
      <protection/>
    </xf>
    <xf numFmtId="2" fontId="0" fillId="22" borderId="21" xfId="0" applyNumberFormat="1" applyFill="1" applyBorder="1" applyAlignment="1" applyProtection="1">
      <alignment/>
      <protection/>
    </xf>
    <xf numFmtId="0" fontId="0" fillId="22" borderId="22" xfId="0" applyFill="1" applyBorder="1" applyAlignment="1" applyProtection="1">
      <alignment horizontal="center"/>
      <protection/>
    </xf>
    <xf numFmtId="2" fontId="0" fillId="22" borderId="0" xfId="0" applyNumberFormat="1" applyFill="1" applyBorder="1" applyAlignment="1" applyProtection="1">
      <alignment/>
      <protection/>
    </xf>
    <xf numFmtId="0" fontId="0" fillId="22" borderId="22" xfId="0" applyNumberFormat="1" applyFill="1" applyBorder="1" applyAlignment="1" applyProtection="1">
      <alignment/>
      <protection/>
    </xf>
    <xf numFmtId="0" fontId="0" fillId="22" borderId="12" xfId="0" applyFill="1" applyBorder="1" applyAlignment="1" applyProtection="1">
      <alignment/>
      <protection/>
    </xf>
    <xf numFmtId="1" fontId="0" fillId="22" borderId="13" xfId="0" applyNumberFormat="1" applyFill="1" applyBorder="1" applyAlignment="1" applyProtection="1">
      <alignment/>
      <protection/>
    </xf>
    <xf numFmtId="1" fontId="0" fillId="22" borderId="23" xfId="0" applyNumberFormat="1" applyFill="1" applyBorder="1" applyAlignment="1" applyProtection="1">
      <alignment/>
      <protection/>
    </xf>
    <xf numFmtId="0" fontId="0" fillId="22" borderId="24" xfId="0" applyFill="1" applyBorder="1" applyAlignment="1" applyProtection="1">
      <alignment/>
      <protection/>
    </xf>
    <xf numFmtId="0" fontId="0" fillId="22" borderId="25" xfId="0" applyFill="1" applyBorder="1" applyAlignment="1" applyProtection="1">
      <alignment/>
      <protection/>
    </xf>
    <xf numFmtId="0" fontId="0" fillId="22" borderId="26" xfId="0" applyFill="1" applyBorder="1" applyAlignment="1" applyProtection="1">
      <alignment/>
      <protection/>
    </xf>
    <xf numFmtId="10" fontId="0" fillId="22" borderId="27" xfId="0" applyNumberFormat="1" applyFill="1" applyBorder="1" applyAlignment="1" applyProtection="1">
      <alignment/>
      <protection/>
    </xf>
    <xf numFmtId="0" fontId="0" fillId="22" borderId="28" xfId="0" applyFill="1" applyBorder="1" applyAlignment="1" applyProtection="1">
      <alignment/>
      <protection/>
    </xf>
    <xf numFmtId="10" fontId="0" fillId="22" borderId="13" xfId="0" applyNumberFormat="1" applyFill="1" applyBorder="1" applyAlignment="1" applyProtection="1">
      <alignment/>
      <protection/>
    </xf>
    <xf numFmtId="0" fontId="0" fillId="22" borderId="23" xfId="0" applyFill="1" applyBorder="1" applyAlignment="1" applyProtection="1">
      <alignment/>
      <protection/>
    </xf>
    <xf numFmtId="0" fontId="0" fillId="22" borderId="27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/>
      <protection locked="0"/>
    </xf>
    <xf numFmtId="0" fontId="0" fillId="0" borderId="30" xfId="0" applyFill="1" applyBorder="1" applyAlignment="1" applyProtection="1">
      <alignment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31" xfId="0" applyFill="1" applyBorder="1" applyAlignment="1" applyProtection="1">
      <alignment/>
      <protection locked="0"/>
    </xf>
    <xf numFmtId="0" fontId="0" fillId="0" borderId="26" xfId="0" applyFill="1" applyBorder="1" applyAlignment="1" applyProtection="1">
      <alignment/>
      <protection locked="0"/>
    </xf>
    <xf numFmtId="0" fontId="0" fillId="0" borderId="32" xfId="0" applyFill="1" applyBorder="1" applyAlignment="1" applyProtection="1">
      <alignment/>
      <protection locked="0"/>
    </xf>
    <xf numFmtId="0" fontId="0" fillId="22" borderId="17" xfId="0" applyFill="1" applyBorder="1" applyAlignment="1" applyProtection="1">
      <alignment horizontal="center"/>
      <protection/>
    </xf>
    <xf numFmtId="0" fontId="0" fillId="22" borderId="33" xfId="0" applyFill="1" applyBorder="1" applyAlignment="1" applyProtection="1">
      <alignment/>
      <protection/>
    </xf>
    <xf numFmtId="0" fontId="0" fillId="22" borderId="34" xfId="0" applyFill="1" applyBorder="1" applyAlignment="1" applyProtection="1">
      <alignment/>
      <protection/>
    </xf>
    <xf numFmtId="0" fontId="0" fillId="22" borderId="35" xfId="0" applyFill="1" applyBorder="1" applyAlignment="1" applyProtection="1">
      <alignment/>
      <protection/>
    </xf>
    <xf numFmtId="0" fontId="0" fillId="0" borderId="19" xfId="0" applyFill="1" applyBorder="1" applyAlignment="1" applyProtection="1">
      <alignment horizontal="center"/>
      <protection locked="0"/>
    </xf>
    <xf numFmtId="0" fontId="0" fillId="0" borderId="33" xfId="0" applyFill="1" applyBorder="1" applyAlignment="1" applyProtection="1">
      <alignment/>
      <protection locked="0"/>
    </xf>
    <xf numFmtId="0" fontId="0" fillId="0" borderId="36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2" fontId="0" fillId="22" borderId="37" xfId="0" applyNumberFormat="1" applyFill="1" applyBorder="1" applyAlignment="1" applyProtection="1">
      <alignment/>
      <protection/>
    </xf>
    <xf numFmtId="0" fontId="0" fillId="22" borderId="38" xfId="0" applyFill="1" applyBorder="1" applyAlignment="1" applyProtection="1">
      <alignment/>
      <protection/>
    </xf>
    <xf numFmtId="0" fontId="0" fillId="22" borderId="39" xfId="0" applyFill="1" applyBorder="1" applyAlignment="1" applyProtection="1">
      <alignment/>
      <protection/>
    </xf>
    <xf numFmtId="2" fontId="0" fillId="22" borderId="20" xfId="0" applyNumberForma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>
      <alignment horizontal="center"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0" fillId="0" borderId="19" xfId="0" applyBorder="1" applyAlignment="1">
      <alignment horizontal="center"/>
    </xf>
    <xf numFmtId="2" fontId="0" fillId="0" borderId="40" xfId="0" applyNumberFormat="1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0" fillId="22" borderId="42" xfId="0" applyFill="1" applyBorder="1" applyAlignment="1" applyProtection="1">
      <alignment horizontal="center"/>
      <protection/>
    </xf>
    <xf numFmtId="1" fontId="0" fillId="22" borderId="43" xfId="0" applyNumberFormat="1" applyFill="1" applyBorder="1" applyAlignment="1" applyProtection="1">
      <alignment/>
      <protection/>
    </xf>
    <xf numFmtId="1" fontId="0" fillId="22" borderId="44" xfId="0" applyNumberFormat="1" applyFill="1" applyBorder="1" applyAlignment="1" applyProtection="1">
      <alignment/>
      <protection/>
    </xf>
    <xf numFmtId="1" fontId="0" fillId="0" borderId="41" xfId="0" applyNumberFormat="1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1" fontId="0" fillId="0" borderId="40" xfId="0" applyNumberFormat="1" applyFill="1" applyBorder="1" applyAlignment="1" applyProtection="1">
      <alignment/>
      <protection locked="0"/>
    </xf>
    <xf numFmtId="0" fontId="5" fillId="0" borderId="45" xfId="0" applyFont="1" applyBorder="1" applyAlignment="1" applyProtection="1">
      <alignment/>
      <protection/>
    </xf>
    <xf numFmtId="0" fontId="0" fillId="22" borderId="46" xfId="0" applyFill="1" applyBorder="1" applyAlignment="1" applyProtection="1">
      <alignment/>
      <protection/>
    </xf>
    <xf numFmtId="0" fontId="0" fillId="22" borderId="47" xfId="0" applyFill="1" applyBorder="1" applyAlignment="1" applyProtection="1">
      <alignment/>
      <protection/>
    </xf>
    <xf numFmtId="0" fontId="0" fillId="22" borderId="48" xfId="0" applyFill="1" applyBorder="1" applyAlignment="1" applyProtection="1">
      <alignment/>
      <protection/>
    </xf>
    <xf numFmtId="0" fontId="0" fillId="0" borderId="49" xfId="0" applyBorder="1" applyAlignment="1" applyProtection="1">
      <alignment/>
      <protection/>
    </xf>
    <xf numFmtId="2" fontId="0" fillId="22" borderId="50" xfId="0" applyNumberFormat="1" applyFill="1" applyBorder="1" applyAlignment="1" applyProtection="1">
      <alignment/>
      <protection/>
    </xf>
    <xf numFmtId="2" fontId="0" fillId="22" borderId="51" xfId="0" applyNumberFormat="1" applyFill="1" applyBorder="1" applyAlignment="1" applyProtection="1">
      <alignment/>
      <protection/>
    </xf>
    <xf numFmtId="0" fontId="0" fillId="0" borderId="52" xfId="0" applyBorder="1" applyAlignment="1">
      <alignment/>
    </xf>
    <xf numFmtId="0" fontId="0" fillId="22" borderId="53" xfId="0" applyFill="1" applyBorder="1" applyAlignment="1" applyProtection="1">
      <alignment/>
      <protection/>
    </xf>
    <xf numFmtId="0" fontId="0" fillId="22" borderId="54" xfId="0" applyFill="1" applyBorder="1" applyAlignment="1" applyProtection="1">
      <alignment/>
      <protection/>
    </xf>
    <xf numFmtId="2" fontId="0" fillId="22" borderId="53" xfId="0" applyNumberFormat="1" applyFill="1" applyBorder="1" applyAlignment="1" applyProtection="1">
      <alignment/>
      <protection/>
    </xf>
    <xf numFmtId="0" fontId="0" fillId="0" borderId="55" xfId="0" applyBorder="1" applyAlignment="1" applyProtection="1">
      <alignment/>
      <protection/>
    </xf>
    <xf numFmtId="0" fontId="0" fillId="0" borderId="56" xfId="0" applyFill="1" applyBorder="1" applyAlignment="1" applyProtection="1">
      <alignment/>
      <protection locked="0"/>
    </xf>
    <xf numFmtId="2" fontId="0" fillId="22" borderId="57" xfId="0" applyNumberFormat="1" applyFill="1" applyBorder="1" applyAlignment="1" applyProtection="1">
      <alignment/>
      <protection/>
    </xf>
    <xf numFmtId="2" fontId="0" fillId="22" borderId="58" xfId="0" applyNumberFormat="1" applyFill="1" applyBorder="1" applyAlignment="1" applyProtection="1">
      <alignment/>
      <protection/>
    </xf>
    <xf numFmtId="0" fontId="5" fillId="0" borderId="45" xfId="0" applyFont="1" applyBorder="1" applyAlignment="1">
      <alignment/>
    </xf>
    <xf numFmtId="0" fontId="0" fillId="22" borderId="46" xfId="0" applyFill="1" applyBorder="1" applyAlignment="1" applyProtection="1">
      <alignment horizontal="center"/>
      <protection/>
    </xf>
    <xf numFmtId="0" fontId="0" fillId="22" borderId="48" xfId="0" applyFill="1" applyBorder="1" applyAlignment="1" applyProtection="1">
      <alignment horizontal="center"/>
      <protection/>
    </xf>
    <xf numFmtId="0" fontId="0" fillId="0" borderId="49" xfId="0" applyBorder="1" applyAlignment="1">
      <alignment/>
    </xf>
    <xf numFmtId="1" fontId="0" fillId="22" borderId="50" xfId="0" applyNumberFormat="1" applyFill="1" applyBorder="1" applyAlignment="1" applyProtection="1">
      <alignment/>
      <protection/>
    </xf>
    <xf numFmtId="1" fontId="0" fillId="22" borderId="59" xfId="0" applyNumberFormat="1" applyFill="1" applyBorder="1" applyAlignment="1" applyProtection="1">
      <alignment/>
      <protection/>
    </xf>
    <xf numFmtId="0" fontId="5" fillId="22" borderId="60" xfId="0" applyFont="1" applyFill="1" applyBorder="1" applyAlignment="1" applyProtection="1">
      <alignment horizontal="center"/>
      <protection/>
    </xf>
    <xf numFmtId="1" fontId="0" fillId="22" borderId="61" xfId="0" applyNumberFormat="1" applyFill="1" applyBorder="1" applyAlignment="1" applyProtection="1">
      <alignment/>
      <protection/>
    </xf>
    <xf numFmtId="1" fontId="0" fillId="22" borderId="62" xfId="0" applyNumberFormat="1" applyFill="1" applyBorder="1" applyAlignment="1" applyProtection="1">
      <alignment/>
      <protection/>
    </xf>
    <xf numFmtId="0" fontId="0" fillId="0" borderId="55" xfId="0" applyBorder="1" applyAlignment="1">
      <alignment/>
    </xf>
    <xf numFmtId="1" fontId="0" fillId="22" borderId="58" xfId="0" applyNumberFormat="1" applyFill="1" applyBorder="1" applyAlignment="1" applyProtection="1">
      <alignment/>
      <protection/>
    </xf>
    <xf numFmtId="2" fontId="0" fillId="22" borderId="50" xfId="0" applyNumberFormat="1" applyFill="1" applyBorder="1" applyAlignment="1" applyProtection="1">
      <alignment horizontal="center"/>
      <protection/>
    </xf>
    <xf numFmtId="2" fontId="0" fillId="22" borderId="51" xfId="0" applyNumberFormat="1" applyFill="1" applyBorder="1" applyAlignment="1" applyProtection="1">
      <alignment horizontal="center"/>
      <protection/>
    </xf>
    <xf numFmtId="0" fontId="0" fillId="0" borderId="52" xfId="0" applyBorder="1" applyAlignment="1" applyProtection="1">
      <alignment/>
      <protection/>
    </xf>
    <xf numFmtId="0" fontId="0" fillId="22" borderId="53" xfId="0" applyFill="1" applyBorder="1" applyAlignment="1" applyProtection="1">
      <alignment horizontal="center"/>
      <protection/>
    </xf>
    <xf numFmtId="0" fontId="0" fillId="22" borderId="50" xfId="0" applyFill="1" applyBorder="1" applyAlignment="1" applyProtection="1">
      <alignment horizontal="center"/>
      <protection/>
    </xf>
    <xf numFmtId="0" fontId="0" fillId="0" borderId="56" xfId="0" applyFill="1" applyBorder="1" applyAlignment="1" applyProtection="1">
      <alignment horizontal="center"/>
      <protection locked="0"/>
    </xf>
    <xf numFmtId="0" fontId="0" fillId="22" borderId="58" xfId="0" applyFill="1" applyBorder="1" applyAlignment="1" applyProtection="1">
      <alignment horizontal="center"/>
      <protection/>
    </xf>
    <xf numFmtId="0" fontId="0" fillId="22" borderId="63" xfId="0" applyNumberFormat="1" applyFill="1" applyBorder="1" applyAlignment="1" applyProtection="1">
      <alignment/>
      <protection/>
    </xf>
    <xf numFmtId="0" fontId="0" fillId="22" borderId="64" xfId="0" applyFill="1" applyBorder="1" applyAlignment="1" applyProtection="1">
      <alignment/>
      <protection/>
    </xf>
    <xf numFmtId="0" fontId="0" fillId="22" borderId="65" xfId="0" applyFill="1" applyBorder="1" applyAlignment="1" applyProtection="1">
      <alignment/>
      <protection/>
    </xf>
    <xf numFmtId="0" fontId="0" fillId="22" borderId="66" xfId="0" applyFill="1" applyBorder="1" applyAlignment="1" applyProtection="1">
      <alignment horizontal="center"/>
      <protection/>
    </xf>
    <xf numFmtId="2" fontId="0" fillId="22" borderId="52" xfId="0" applyNumberFormat="1" applyFill="1" applyBorder="1" applyAlignment="1" applyProtection="1">
      <alignment/>
      <protection/>
    </xf>
    <xf numFmtId="2" fontId="0" fillId="22" borderId="67" xfId="0" applyNumberFormat="1" applyFill="1" applyBorder="1" applyAlignment="1" applyProtection="1">
      <alignment/>
      <protection/>
    </xf>
    <xf numFmtId="0" fontId="0" fillId="22" borderId="66" xfId="0" applyFill="1" applyBorder="1" applyAlignment="1" applyProtection="1">
      <alignment/>
      <protection/>
    </xf>
    <xf numFmtId="0" fontId="0" fillId="22" borderId="68" xfId="0" applyFill="1" applyBorder="1" applyAlignment="1" applyProtection="1">
      <alignment/>
      <protection/>
    </xf>
    <xf numFmtId="0" fontId="0" fillId="22" borderId="49" xfId="0" applyFill="1" applyBorder="1" applyAlignment="1" applyProtection="1">
      <alignment/>
      <protection/>
    </xf>
    <xf numFmtId="0" fontId="0" fillId="22" borderId="55" xfId="0" applyFill="1" applyBorder="1" applyAlignment="1" applyProtection="1">
      <alignment/>
      <protection/>
    </xf>
    <xf numFmtId="0" fontId="0" fillId="22" borderId="69" xfId="0" applyFill="1" applyBorder="1" applyAlignment="1" applyProtection="1">
      <alignment/>
      <protection/>
    </xf>
    <xf numFmtId="2" fontId="0" fillId="22" borderId="69" xfId="0" applyNumberFormat="1" applyFill="1" applyBorder="1" applyAlignment="1" applyProtection="1">
      <alignment/>
      <protection/>
    </xf>
    <xf numFmtId="2" fontId="0" fillId="22" borderId="70" xfId="0" applyNumberFormat="1" applyFill="1" applyBorder="1" applyAlignment="1" applyProtection="1">
      <alignment/>
      <protection/>
    </xf>
    <xf numFmtId="0" fontId="0" fillId="0" borderId="71" xfId="0" applyFill="1" applyBorder="1" applyAlignment="1" applyProtection="1">
      <alignment/>
      <protection locked="0"/>
    </xf>
    <xf numFmtId="0" fontId="0" fillId="0" borderId="72" xfId="0" applyFill="1" applyBorder="1" applyAlignment="1" applyProtection="1">
      <alignment/>
      <protection locked="0"/>
    </xf>
    <xf numFmtId="0" fontId="0" fillId="22" borderId="63" xfId="0" applyFill="1" applyBorder="1" applyAlignment="1" applyProtection="1">
      <alignment/>
      <protection/>
    </xf>
    <xf numFmtId="0" fontId="0" fillId="22" borderId="73" xfId="0" applyFill="1" applyBorder="1" applyAlignment="1" applyProtection="1">
      <alignment/>
      <protection/>
    </xf>
    <xf numFmtId="0" fontId="0" fillId="22" borderId="74" xfId="0" applyFill="1" applyBorder="1" applyAlignment="1" applyProtection="1">
      <alignment/>
      <protection/>
    </xf>
    <xf numFmtId="0" fontId="0" fillId="22" borderId="70" xfId="0" applyFill="1" applyBorder="1" applyAlignment="1" applyProtection="1">
      <alignment/>
      <protection/>
    </xf>
    <xf numFmtId="0" fontId="0" fillId="0" borderId="64" xfId="0" applyBorder="1" applyAlignment="1" applyProtection="1">
      <alignment/>
      <protection/>
    </xf>
    <xf numFmtId="0" fontId="5" fillId="0" borderId="49" xfId="0" applyFont="1" applyBorder="1" applyAlignment="1">
      <alignment/>
    </xf>
    <xf numFmtId="0" fontId="0" fillId="0" borderId="69" xfId="0" applyBorder="1" applyAlignment="1">
      <alignment/>
    </xf>
    <xf numFmtId="2" fontId="0" fillId="22" borderId="58" xfId="0" applyNumberFormat="1" applyFill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/>
      <protection/>
    </xf>
    <xf numFmtId="0" fontId="0" fillId="0" borderId="64" xfId="0" applyBorder="1" applyAlignment="1">
      <alignment/>
    </xf>
    <xf numFmtId="0" fontId="5" fillId="0" borderId="64" xfId="0" applyFont="1" applyBorder="1" applyAlignment="1" applyProtection="1">
      <alignment/>
      <protection/>
    </xf>
    <xf numFmtId="14" fontId="5" fillId="0" borderId="64" xfId="0" applyNumberFormat="1" applyFont="1" applyBorder="1" applyAlignment="1" applyProtection="1">
      <alignment/>
      <protection/>
    </xf>
    <xf numFmtId="0" fontId="0" fillId="0" borderId="65" xfId="0" applyBorder="1" applyAlignment="1" applyProtection="1">
      <alignment/>
      <protection/>
    </xf>
    <xf numFmtId="0" fontId="3" fillId="0" borderId="49" xfId="0" applyFont="1" applyBorder="1" applyAlignment="1" applyProtection="1">
      <alignment/>
      <protection/>
    </xf>
    <xf numFmtId="0" fontId="5" fillId="22" borderId="68" xfId="0" applyFont="1" applyFill="1" applyBorder="1" applyAlignment="1" applyProtection="1">
      <alignment/>
      <protection/>
    </xf>
    <xf numFmtId="0" fontId="0" fillId="22" borderId="49" xfId="0" applyFill="1" applyBorder="1" applyAlignment="1" applyProtection="1">
      <alignment horizontal="center"/>
      <protection/>
    </xf>
    <xf numFmtId="0" fontId="0" fillId="22" borderId="52" xfId="0" applyFill="1" applyBorder="1" applyAlignment="1" applyProtection="1">
      <alignment horizontal="center"/>
      <protection/>
    </xf>
    <xf numFmtId="0" fontId="0" fillId="0" borderId="75" xfId="0" applyFill="1" applyBorder="1" applyAlignment="1" applyProtection="1">
      <alignment horizontal="center"/>
      <protection locked="0"/>
    </xf>
    <xf numFmtId="2" fontId="0" fillId="22" borderId="67" xfId="0" applyNumberFormat="1" applyFill="1" applyBorder="1" applyAlignment="1" applyProtection="1">
      <alignment horizontal="center"/>
      <protection/>
    </xf>
    <xf numFmtId="0" fontId="0" fillId="22" borderId="68" xfId="0" applyFill="1" applyBorder="1" applyAlignment="1" applyProtection="1">
      <alignment horizontal="left"/>
      <protection/>
    </xf>
    <xf numFmtId="0" fontId="0" fillId="0" borderId="76" xfId="0" applyFill="1" applyBorder="1" applyAlignment="1" applyProtection="1">
      <alignment horizontal="center"/>
      <protection locked="0"/>
    </xf>
    <xf numFmtId="0" fontId="0" fillId="22" borderId="77" xfId="0" applyFill="1" applyBorder="1" applyAlignment="1" applyProtection="1">
      <alignment/>
      <protection/>
    </xf>
    <xf numFmtId="45" fontId="0" fillId="22" borderId="67" xfId="0" applyNumberFormat="1" applyFill="1" applyBorder="1" applyAlignment="1" applyProtection="1">
      <alignment horizontal="center"/>
      <protection/>
    </xf>
    <xf numFmtId="0" fontId="0" fillId="22" borderId="66" xfId="0" applyFill="1" applyBorder="1" applyAlignment="1" applyProtection="1">
      <alignment horizontal="center"/>
      <protection locked="0"/>
    </xf>
    <xf numFmtId="0" fontId="0" fillId="22" borderId="67" xfId="0" applyFill="1" applyBorder="1" applyAlignment="1" applyProtection="1">
      <alignment horizontal="center"/>
      <protection/>
    </xf>
    <xf numFmtId="0" fontId="0" fillId="22" borderId="78" xfId="0" applyFill="1" applyBorder="1" applyAlignment="1" applyProtection="1">
      <alignment/>
      <protection/>
    </xf>
    <xf numFmtId="0" fontId="0" fillId="22" borderId="79" xfId="0" applyFill="1" applyBorder="1" applyAlignment="1" applyProtection="1">
      <alignment/>
      <protection/>
    </xf>
    <xf numFmtId="2" fontId="0" fillId="0" borderId="52" xfId="0" applyNumberFormat="1" applyBorder="1" applyAlignment="1" applyProtection="1">
      <alignment/>
      <protection/>
    </xf>
    <xf numFmtId="0" fontId="0" fillId="0" borderId="70" xfId="0" applyBorder="1" applyAlignment="1" applyProtection="1">
      <alignment/>
      <protection/>
    </xf>
    <xf numFmtId="175" fontId="0" fillId="0" borderId="0" xfId="0" applyNumberFormat="1" applyAlignment="1">
      <alignment/>
    </xf>
    <xf numFmtId="0" fontId="9" fillId="24" borderId="0" xfId="0" applyFont="1" applyFill="1" applyAlignment="1">
      <alignment vertical="center"/>
    </xf>
    <xf numFmtId="0" fontId="7" fillId="24" borderId="0" xfId="0" applyFont="1" applyFill="1" applyAlignment="1">
      <alignment/>
    </xf>
    <xf numFmtId="0" fontId="8" fillId="24" borderId="22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vertical="center" wrapText="1"/>
    </xf>
    <xf numFmtId="0" fontId="8" fillId="24" borderId="10" xfId="0" applyFont="1" applyFill="1" applyBorder="1" applyAlignment="1">
      <alignment horizontal="center" vertical="center" wrapText="1"/>
    </xf>
    <xf numFmtId="0" fontId="8" fillId="24" borderId="80" xfId="0" applyFont="1" applyFill="1" applyBorder="1" applyAlignment="1">
      <alignment vertical="center" wrapText="1"/>
    </xf>
    <xf numFmtId="172" fontId="5" fillId="25" borderId="13" xfId="0" applyNumberFormat="1" applyFont="1" applyFill="1" applyBorder="1" applyAlignment="1">
      <alignment vertical="center"/>
    </xf>
    <xf numFmtId="0" fontId="0" fillId="26" borderId="13" xfId="0" applyFill="1" applyBorder="1" applyAlignment="1">
      <alignment vertical="center"/>
    </xf>
    <xf numFmtId="172" fontId="5" fillId="25" borderId="23" xfId="0" applyNumberFormat="1" applyFont="1" applyFill="1" applyBorder="1" applyAlignment="1">
      <alignment vertical="center"/>
    </xf>
    <xf numFmtId="2" fontId="5" fillId="25" borderId="23" xfId="0" applyNumberFormat="1" applyFont="1" applyFill="1" applyBorder="1" applyAlignment="1">
      <alignment vertical="center"/>
    </xf>
    <xf numFmtId="169" fontId="5" fillId="25" borderId="23" xfId="0" applyNumberFormat="1" applyFont="1" applyFill="1" applyBorder="1" applyAlignment="1">
      <alignment vertical="center"/>
    </xf>
    <xf numFmtId="0" fontId="10" fillId="27" borderId="0" xfId="0" applyFont="1" applyFill="1" applyAlignment="1">
      <alignment wrapText="1"/>
    </xf>
    <xf numFmtId="171" fontId="5" fillId="25" borderId="13" xfId="0" applyNumberFormat="1" applyFont="1" applyFill="1" applyBorder="1" applyAlignment="1">
      <alignment vertical="center"/>
    </xf>
    <xf numFmtId="0" fontId="0" fillId="22" borderId="47" xfId="0" applyFill="1" applyBorder="1" applyAlignment="1" applyProtection="1">
      <alignment horizontal="center"/>
      <protection/>
    </xf>
    <xf numFmtId="2" fontId="0" fillId="22" borderId="21" xfId="0" applyNumberFormat="1" applyFill="1" applyBorder="1" applyAlignment="1" applyProtection="1">
      <alignment horizontal="center"/>
      <protection/>
    </xf>
    <xf numFmtId="2" fontId="0" fillId="22" borderId="37" xfId="0" applyNumberFormat="1" applyFill="1" applyBorder="1" applyAlignment="1" applyProtection="1">
      <alignment horizontal="center"/>
      <protection/>
    </xf>
    <xf numFmtId="2" fontId="0" fillId="22" borderId="57" xfId="0" applyNumberFormat="1" applyFill="1" applyBorder="1" applyAlignment="1" applyProtection="1">
      <alignment horizontal="center"/>
      <protection/>
    </xf>
    <xf numFmtId="168" fontId="5" fillId="25" borderId="23" xfId="0" applyNumberFormat="1" applyFont="1" applyFill="1" applyBorder="1" applyAlignment="1">
      <alignment vertical="center"/>
    </xf>
    <xf numFmtId="0" fontId="8" fillId="24" borderId="8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2" fontId="5" fillId="0" borderId="0" xfId="0" applyNumberFormat="1" applyFont="1" applyAlignment="1" applyProtection="1">
      <alignment horizontal="center"/>
      <protection/>
    </xf>
    <xf numFmtId="0" fontId="0" fillId="22" borderId="81" xfId="0" applyFill="1" applyBorder="1" applyAlignment="1" applyProtection="1">
      <alignment horizontal="center"/>
      <protection/>
    </xf>
    <xf numFmtId="0" fontId="5" fillId="0" borderId="49" xfId="0" applyFont="1" applyBorder="1" applyAlignment="1" applyProtection="1">
      <alignment/>
      <protection/>
    </xf>
    <xf numFmtId="0" fontId="0" fillId="22" borderId="35" xfId="0" applyFill="1" applyBorder="1" applyAlignment="1" applyProtection="1">
      <alignment horizontal="center"/>
      <protection/>
    </xf>
    <xf numFmtId="0" fontId="0" fillId="22" borderId="82" xfId="0" applyFill="1" applyBorder="1" applyAlignment="1" applyProtection="1">
      <alignment horizontal="center"/>
      <protection/>
    </xf>
    <xf numFmtId="0" fontId="0" fillId="22" borderId="83" xfId="0" applyFill="1" applyBorder="1" applyAlignment="1" applyProtection="1">
      <alignment horizontal="center"/>
      <protection/>
    </xf>
    <xf numFmtId="0" fontId="0" fillId="22" borderId="62" xfId="0" applyFill="1" applyBorder="1" applyAlignment="1" applyProtection="1">
      <alignment horizontal="center"/>
      <protection/>
    </xf>
    <xf numFmtId="2" fontId="0" fillId="22" borderId="15" xfId="0" applyNumberFormat="1" applyFill="1" applyBorder="1" applyAlignment="1" applyProtection="1">
      <alignment horizontal="center"/>
      <protection/>
    </xf>
    <xf numFmtId="0" fontId="0" fillId="0" borderId="84" xfId="0" applyFill="1" applyBorder="1" applyAlignment="1" applyProtection="1">
      <alignment horizontal="center"/>
      <protection locked="0"/>
    </xf>
    <xf numFmtId="2" fontId="0" fillId="0" borderId="85" xfId="0" applyNumberFormat="1" applyFill="1" applyBorder="1" applyAlignment="1" applyProtection="1">
      <alignment horizontal="center"/>
      <protection/>
    </xf>
    <xf numFmtId="2" fontId="0" fillId="0" borderId="86" xfId="0" applyNumberFormat="1" applyFill="1" applyBorder="1" applyAlignment="1" applyProtection="1">
      <alignment horizontal="center"/>
      <protection/>
    </xf>
    <xf numFmtId="2" fontId="0" fillId="22" borderId="87" xfId="0" applyNumberFormat="1" applyFill="1" applyBorder="1" applyAlignment="1" applyProtection="1">
      <alignment horizontal="center"/>
      <protection/>
    </xf>
    <xf numFmtId="1" fontId="0" fillId="22" borderId="21" xfId="0" applyNumberFormat="1" applyFill="1" applyBorder="1" applyAlignment="1" applyProtection="1">
      <alignment horizontal="center"/>
      <protection/>
    </xf>
    <xf numFmtId="1" fontId="0" fillId="22" borderId="50" xfId="0" applyNumberFormat="1" applyFill="1" applyBorder="1" applyAlignment="1" applyProtection="1">
      <alignment horizontal="center"/>
      <protection/>
    </xf>
    <xf numFmtId="1" fontId="0" fillId="22" borderId="85" xfId="0" applyNumberFormat="1" applyFill="1" applyBorder="1" applyAlignment="1" applyProtection="1">
      <alignment horizontal="center"/>
      <protection/>
    </xf>
    <xf numFmtId="1" fontId="0" fillId="22" borderId="87" xfId="0" applyNumberFormat="1" applyFill="1" applyBorder="1" applyAlignment="1" applyProtection="1">
      <alignment horizontal="center"/>
      <protection/>
    </xf>
    <xf numFmtId="0" fontId="0" fillId="22" borderId="33" xfId="0" applyFill="1" applyBorder="1" applyAlignment="1" applyProtection="1">
      <alignment horizontal="center"/>
      <protection/>
    </xf>
    <xf numFmtId="2" fontId="0" fillId="22" borderId="71" xfId="0" applyNumberFormat="1" applyFill="1" applyBorder="1" applyAlignment="1" applyProtection="1">
      <alignment horizontal="center"/>
      <protection/>
    </xf>
    <xf numFmtId="2" fontId="0" fillId="22" borderId="59" xfId="0" applyNumberFormat="1" applyFill="1" applyBorder="1" applyAlignment="1" applyProtection="1">
      <alignment horizontal="center"/>
      <protection/>
    </xf>
    <xf numFmtId="2" fontId="0" fillId="22" borderId="85" xfId="0" applyNumberForma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vertical="center"/>
      <protection/>
    </xf>
    <xf numFmtId="14" fontId="5" fillId="0" borderId="0" xfId="0" applyNumberFormat="1" applyFont="1" applyAlignment="1" applyProtection="1">
      <alignment vertical="center"/>
      <protection/>
    </xf>
    <xf numFmtId="1" fontId="0" fillId="0" borderId="85" xfId="0" applyNumberFormat="1" applyFill="1" applyBorder="1" applyAlignment="1" applyProtection="1">
      <alignment horizontal="center"/>
      <protection/>
    </xf>
    <xf numFmtId="0" fontId="0" fillId="22" borderId="0" xfId="0" applyFont="1" applyFill="1" applyBorder="1" applyAlignment="1" applyProtection="1">
      <alignment horizontal="center"/>
      <protection/>
    </xf>
    <xf numFmtId="1" fontId="0" fillId="22" borderId="0" xfId="0" applyNumberFormat="1" applyFill="1" applyBorder="1" applyAlignment="1" applyProtection="1">
      <alignment horizontal="center"/>
      <protection/>
    </xf>
    <xf numFmtId="0" fontId="0" fillId="22" borderId="32" xfId="0" applyFill="1" applyBorder="1" applyAlignment="1" applyProtection="1">
      <alignment horizontal="center"/>
      <protection/>
    </xf>
    <xf numFmtId="2" fontId="0" fillId="22" borderId="88" xfId="0" applyNumberFormat="1" applyFill="1" applyBorder="1" applyAlignment="1" applyProtection="1">
      <alignment horizontal="center"/>
      <protection/>
    </xf>
    <xf numFmtId="2" fontId="0" fillId="0" borderId="89" xfId="0" applyNumberFormat="1" applyFill="1" applyBorder="1" applyAlignment="1" applyProtection="1">
      <alignment horizontal="center"/>
      <protection locked="0"/>
    </xf>
    <xf numFmtId="0" fontId="0" fillId="22" borderId="90" xfId="0" applyFont="1" applyFill="1" applyBorder="1" applyAlignment="1" applyProtection="1">
      <alignment horizontal="center"/>
      <protection/>
    </xf>
    <xf numFmtId="171" fontId="0" fillId="0" borderId="91" xfId="0" applyNumberFormat="1" applyBorder="1" applyAlignment="1" applyProtection="1">
      <alignment vertical="center"/>
      <protection locked="0"/>
    </xf>
    <xf numFmtId="172" fontId="0" fillId="0" borderId="13" xfId="0" applyNumberFormat="1" applyBorder="1" applyAlignment="1" applyProtection="1">
      <alignment vertical="center"/>
      <protection locked="0"/>
    </xf>
    <xf numFmtId="2" fontId="0" fillId="0" borderId="13" xfId="0" applyNumberFormat="1" applyBorder="1" applyAlignment="1" applyProtection="1">
      <alignment vertical="center"/>
      <protection locked="0"/>
    </xf>
    <xf numFmtId="172" fontId="0" fillId="0" borderId="91" xfId="0" applyNumberFormat="1" applyBorder="1" applyAlignment="1" applyProtection="1">
      <alignment vertical="center"/>
      <protection locked="0"/>
    </xf>
    <xf numFmtId="168" fontId="0" fillId="0" borderId="91" xfId="0" applyNumberFormat="1" applyBorder="1" applyAlignment="1" applyProtection="1">
      <alignment vertical="center"/>
      <protection locked="0"/>
    </xf>
    <xf numFmtId="0" fontId="0" fillId="28" borderId="0" xfId="0" applyFill="1" applyAlignment="1">
      <alignment/>
    </xf>
    <xf numFmtId="0" fontId="12" fillId="28" borderId="0" xfId="0" applyFont="1" applyFill="1" applyAlignment="1">
      <alignment/>
    </xf>
    <xf numFmtId="171" fontId="13" fillId="0" borderId="37" xfId="0" applyNumberFormat="1" applyFont="1" applyBorder="1" applyAlignment="1" applyProtection="1">
      <alignment/>
      <protection locked="0"/>
    </xf>
    <xf numFmtId="172" fontId="13" fillId="0" borderId="37" xfId="0" applyNumberFormat="1" applyFont="1" applyBorder="1" applyAlignment="1" applyProtection="1">
      <alignment/>
      <protection locked="0"/>
    </xf>
    <xf numFmtId="171" fontId="13" fillId="0" borderId="37" xfId="0" applyNumberFormat="1" applyFont="1" applyFill="1" applyBorder="1" applyAlignment="1" applyProtection="1">
      <alignment/>
      <protection locked="0"/>
    </xf>
    <xf numFmtId="1" fontId="13" fillId="0" borderId="37" xfId="0" applyNumberFormat="1" applyFont="1" applyFill="1" applyBorder="1" applyAlignment="1" applyProtection="1">
      <alignment/>
      <protection locked="0"/>
    </xf>
    <xf numFmtId="1" fontId="13" fillId="22" borderId="37" xfId="0" applyNumberFormat="1" applyFont="1" applyFill="1" applyBorder="1" applyAlignment="1" applyProtection="1">
      <alignment/>
      <protection/>
    </xf>
    <xf numFmtId="0" fontId="8" fillId="24" borderId="21" xfId="0" applyFont="1" applyFill="1" applyBorder="1" applyAlignment="1">
      <alignment horizontal="center" vertical="center" wrapText="1"/>
    </xf>
    <xf numFmtId="0" fontId="8" fillId="24" borderId="71" xfId="0" applyFont="1" applyFill="1" applyBorder="1" applyAlignment="1">
      <alignment horizontal="center" vertical="center" wrapText="1"/>
    </xf>
    <xf numFmtId="0" fontId="8" fillId="24" borderId="82" xfId="0" applyFont="1" applyFill="1" applyBorder="1" applyAlignment="1">
      <alignment horizontal="center" vertical="center" wrapText="1"/>
    </xf>
    <xf numFmtId="0" fontId="8" fillId="24" borderId="33" xfId="0" applyFont="1" applyFill="1" applyBorder="1" applyAlignment="1">
      <alignment horizontal="center" vertical="center" wrapText="1"/>
    </xf>
    <xf numFmtId="0" fontId="8" fillId="24" borderId="92" xfId="0" applyFont="1" applyFill="1" applyBorder="1" applyAlignment="1">
      <alignment horizontal="center" vertical="center" wrapText="1"/>
    </xf>
    <xf numFmtId="0" fontId="8" fillId="24" borderId="35" xfId="0" applyFont="1" applyFill="1" applyBorder="1" applyAlignment="1">
      <alignment horizontal="center" vertical="center" wrapText="1"/>
    </xf>
    <xf numFmtId="0" fontId="8" fillId="24" borderId="93" xfId="0" applyFont="1" applyFill="1" applyBorder="1" applyAlignment="1">
      <alignment horizontal="center" vertical="center" wrapText="1"/>
    </xf>
    <xf numFmtId="1" fontId="13" fillId="0" borderId="14" xfId="0" applyNumberFormat="1" applyFont="1" applyBorder="1" applyAlignment="1" applyProtection="1">
      <alignment/>
      <protection locked="0"/>
    </xf>
    <xf numFmtId="1" fontId="13" fillId="22" borderId="41" xfId="0" applyNumberFormat="1" applyFont="1" applyFill="1" applyBorder="1" applyAlignment="1" applyProtection="1">
      <alignment/>
      <protection/>
    </xf>
    <xf numFmtId="0" fontId="0" fillId="0" borderId="37" xfId="0" applyFill="1" applyBorder="1" applyAlignment="1" applyProtection="1">
      <alignment horizontal="center"/>
      <protection locked="0"/>
    </xf>
    <xf numFmtId="1" fontId="0" fillId="22" borderId="23" xfId="0" applyNumberFormat="1" applyFill="1" applyBorder="1" applyAlignment="1" applyProtection="1">
      <alignment horizontal="center"/>
      <protection/>
    </xf>
    <xf numFmtId="0" fontId="0" fillId="22" borderId="28" xfId="0" applyFill="1" applyBorder="1" applyAlignment="1" applyProtection="1">
      <alignment horizontal="center"/>
      <protection/>
    </xf>
    <xf numFmtId="0" fontId="0" fillId="22" borderId="10" xfId="0" applyFill="1" applyBorder="1" applyAlignment="1" applyProtection="1">
      <alignment horizontal="center"/>
      <protection/>
    </xf>
    <xf numFmtId="0" fontId="0" fillId="22" borderId="66" xfId="0" applyFill="1" applyBorder="1" applyAlignment="1" applyProtection="1">
      <alignment horizontal="center"/>
      <protection/>
    </xf>
    <xf numFmtId="0" fontId="5" fillId="22" borderId="94" xfId="0" applyFont="1" applyFill="1" applyBorder="1" applyAlignment="1" applyProtection="1">
      <alignment horizontal="center"/>
      <protection/>
    </xf>
    <xf numFmtId="0" fontId="5" fillId="22" borderId="95" xfId="0" applyFont="1" applyFill="1" applyBorder="1" applyAlignment="1" applyProtection="1">
      <alignment horizontal="center"/>
      <protection/>
    </xf>
    <xf numFmtId="0" fontId="5" fillId="22" borderId="42" xfId="0" applyFont="1" applyFill="1" applyBorder="1" applyAlignment="1" applyProtection="1">
      <alignment horizontal="center"/>
      <protection/>
    </xf>
    <xf numFmtId="0" fontId="5" fillId="22" borderId="96" xfId="0" applyFont="1" applyFill="1" applyBorder="1" applyAlignment="1" applyProtection="1">
      <alignment horizontal="center"/>
      <protection/>
    </xf>
    <xf numFmtId="0" fontId="0" fillId="0" borderId="0" xfId="0" applyAlignment="1">
      <alignment horizontal="left" vertical="center" wrapText="1"/>
    </xf>
    <xf numFmtId="0" fontId="9" fillId="24" borderId="97" xfId="0" applyFont="1" applyFill="1" applyBorder="1" applyAlignment="1">
      <alignment horizontal="left" vertical="center"/>
    </xf>
    <xf numFmtId="0" fontId="9" fillId="24" borderId="98" xfId="0" applyFont="1" applyFill="1" applyBorder="1" applyAlignment="1">
      <alignment horizontal="left" vertical="center"/>
    </xf>
    <xf numFmtId="0" fontId="9" fillId="24" borderId="99" xfId="0" applyFont="1" applyFill="1" applyBorder="1" applyAlignment="1">
      <alignment horizontal="left" vertical="center"/>
    </xf>
    <xf numFmtId="0" fontId="14" fillId="24" borderId="94" xfId="0" applyFont="1" applyFill="1" applyBorder="1" applyAlignment="1">
      <alignment horizontal="center" vertical="center" wrapText="1"/>
    </xf>
    <xf numFmtId="0" fontId="14" fillId="24" borderId="95" xfId="0" applyFont="1" applyFill="1" applyBorder="1" applyAlignment="1">
      <alignment horizontal="center" vertical="center" wrapText="1"/>
    </xf>
    <xf numFmtId="0" fontId="14" fillId="24" borderId="42" xfId="0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 wrapText="1"/>
    </xf>
    <xf numFmtId="0" fontId="8" fillId="24" borderId="83" xfId="0" applyFont="1" applyFill="1" applyBorder="1" applyAlignment="1">
      <alignment horizontal="center" vertical="center" wrapText="1"/>
    </xf>
    <xf numFmtId="0" fontId="8" fillId="24" borderId="32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59"/>
  <sheetViews>
    <sheetView tabSelected="1" zoomScalePageLayoutView="0" workbookViewId="0" topLeftCell="E1">
      <selection activeCell="T34" sqref="T34"/>
    </sheetView>
  </sheetViews>
  <sheetFormatPr defaultColWidth="9.140625" defaultRowHeight="12.75"/>
  <cols>
    <col min="1" max="1" width="2.7109375" style="0" customWidth="1"/>
    <col min="2" max="2" width="11.57421875" style="0" customWidth="1"/>
    <col min="6" max="6" width="2.7109375" style="0" customWidth="1"/>
    <col min="7" max="7" width="12.140625" style="0" customWidth="1"/>
    <col min="8" max="8" width="10.8515625" style="0" bestFit="1" customWidth="1"/>
    <col min="9" max="9" width="11.421875" style="0" customWidth="1"/>
    <col min="10" max="10" width="2.7109375" style="0" customWidth="1"/>
    <col min="11" max="11" width="11.28125" style="0" customWidth="1"/>
    <col min="14" max="14" width="11.57421875" style="0" bestFit="1" customWidth="1"/>
    <col min="15" max="15" width="9.57421875" style="0" bestFit="1" customWidth="1"/>
    <col min="16" max="16" width="2.7109375" style="0" customWidth="1"/>
    <col min="21" max="21" width="12.140625" style="0" customWidth="1"/>
    <col min="22" max="22" width="10.8515625" style="0" bestFit="1" customWidth="1"/>
    <col min="23" max="23" width="11.421875" style="0" customWidth="1"/>
  </cols>
  <sheetData>
    <row r="1" spans="2:23" ht="15.75" thickBot="1">
      <c r="B1" s="3" t="s">
        <v>21</v>
      </c>
      <c r="D1" s="2"/>
      <c r="E1" s="2"/>
      <c r="F1" s="2"/>
      <c r="G1" s="4" t="s">
        <v>114</v>
      </c>
      <c r="H1" s="5" t="s">
        <v>115</v>
      </c>
      <c r="I1" s="2"/>
      <c r="J1" s="2"/>
      <c r="K1" s="2"/>
      <c r="L1" s="2"/>
      <c r="M1" s="2"/>
      <c r="N1" s="2"/>
      <c r="O1" s="2"/>
      <c r="Q1" s="3"/>
      <c r="R1" s="2"/>
      <c r="S1" s="2"/>
      <c r="T1" s="2"/>
      <c r="U1" s="4"/>
      <c r="V1" s="5"/>
      <c r="W1" s="2"/>
    </row>
    <row r="2" spans="2:23" ht="15" thickTop="1">
      <c r="B2" s="2"/>
      <c r="C2" s="63" t="s">
        <v>60</v>
      </c>
      <c r="D2" s="2"/>
      <c r="E2" s="2"/>
      <c r="F2" s="2"/>
      <c r="G2" s="4"/>
      <c r="H2" s="5"/>
      <c r="I2" s="2"/>
      <c r="J2" s="2"/>
      <c r="K2" s="2"/>
      <c r="L2" s="2"/>
      <c r="M2" s="2"/>
      <c r="N2" s="2"/>
      <c r="O2" s="2"/>
      <c r="Q2" s="133"/>
      <c r="R2" s="134"/>
      <c r="S2" s="135" t="s">
        <v>72</v>
      </c>
      <c r="T2" s="129"/>
      <c r="U2" s="135"/>
      <c r="V2" s="136"/>
      <c r="W2" s="137"/>
    </row>
    <row r="3" spans="2:23" ht="15.75" thickBot="1">
      <c r="B3" s="2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Q3" s="138"/>
      <c r="R3" s="6"/>
      <c r="S3" s="6"/>
      <c r="T3" s="6"/>
      <c r="U3" s="6"/>
      <c r="V3" s="6"/>
      <c r="W3" s="105"/>
    </row>
    <row r="4" spans="2:23" ht="14.25" thickBot="1" thickTop="1">
      <c r="B4" s="77" t="s">
        <v>65</v>
      </c>
      <c r="C4" s="78" t="s">
        <v>5</v>
      </c>
      <c r="D4" s="79" t="s">
        <v>44</v>
      </c>
      <c r="E4" s="80" t="s">
        <v>45</v>
      </c>
      <c r="G4" s="92" t="s">
        <v>67</v>
      </c>
      <c r="H4" s="93" t="s">
        <v>50</v>
      </c>
      <c r="I4" s="94" t="s">
        <v>51</v>
      </c>
      <c r="J4" s="2"/>
      <c r="K4" s="92" t="s">
        <v>69</v>
      </c>
      <c r="L4" s="110" t="s">
        <v>40</v>
      </c>
      <c r="M4" s="111" t="s">
        <v>43</v>
      </c>
      <c r="N4" s="111"/>
      <c r="O4" s="112"/>
      <c r="Q4" s="139" t="s">
        <v>22</v>
      </c>
      <c r="R4" s="8"/>
      <c r="S4" s="8"/>
      <c r="T4" s="8"/>
      <c r="U4" s="8"/>
      <c r="V4" s="230" t="s">
        <v>9</v>
      </c>
      <c r="W4" s="231"/>
    </row>
    <row r="5" spans="2:23" ht="12.75">
      <c r="B5" s="81"/>
      <c r="C5" s="28">
        <v>10</v>
      </c>
      <c r="D5" s="29">
        <f aca="true" t="shared" si="0" ref="D5:D14">C5*1.15078</f>
        <v>11.5078</v>
      </c>
      <c r="E5" s="82">
        <f>D5*1.609344</f>
        <v>18.5200088832</v>
      </c>
      <c r="G5" s="95"/>
      <c r="H5" s="28">
        <v>28</v>
      </c>
      <c r="I5" s="96">
        <f>H5*1013/29.92</f>
        <v>947.994652406417</v>
      </c>
      <c r="J5" s="2"/>
      <c r="K5" s="95"/>
      <c r="L5" s="30" t="s">
        <v>36</v>
      </c>
      <c r="M5" s="9" t="s">
        <v>37</v>
      </c>
      <c r="N5" s="9" t="s">
        <v>38</v>
      </c>
      <c r="O5" s="113" t="s">
        <v>39</v>
      </c>
      <c r="Q5" s="140" t="s">
        <v>2</v>
      </c>
      <c r="R5" s="11" t="s">
        <v>0</v>
      </c>
      <c r="S5" s="11" t="s">
        <v>1</v>
      </c>
      <c r="T5" s="12" t="s">
        <v>3</v>
      </c>
      <c r="U5" s="11" t="s">
        <v>57</v>
      </c>
      <c r="V5" s="11" t="s">
        <v>8</v>
      </c>
      <c r="W5" s="141" t="s">
        <v>4</v>
      </c>
    </row>
    <row r="6" spans="2:23" ht="12.75">
      <c r="B6" s="81"/>
      <c r="C6" s="28">
        <v>20</v>
      </c>
      <c r="D6" s="29">
        <f t="shared" si="0"/>
        <v>23.0156</v>
      </c>
      <c r="E6" s="82">
        <f aca="true" t="shared" si="1" ref="E6:E16">D6*1.609344</f>
        <v>37.0400177664</v>
      </c>
      <c r="G6" s="95"/>
      <c r="H6" s="28">
        <v>28.2</v>
      </c>
      <c r="I6" s="96">
        <f aca="true" t="shared" si="2" ref="I6:I14">H6*1013/29.92</f>
        <v>954.7660427807485</v>
      </c>
      <c r="J6" s="2"/>
      <c r="K6" s="95"/>
      <c r="L6" s="56">
        <v>30</v>
      </c>
      <c r="M6" s="31">
        <f>L6/4.546</f>
        <v>6.5992080950285965</v>
      </c>
      <c r="N6" s="31">
        <f>M6/0.8</f>
        <v>8.249010118785746</v>
      </c>
      <c r="O6" s="114">
        <f>M6*7.2</f>
        <v>47.51429828420589</v>
      </c>
      <c r="Q6" s="140" t="s">
        <v>5</v>
      </c>
      <c r="R6" s="11" t="s">
        <v>6</v>
      </c>
      <c r="S6" s="11" t="s">
        <v>7</v>
      </c>
      <c r="T6" s="11" t="s">
        <v>7</v>
      </c>
      <c r="U6" s="11" t="s">
        <v>6</v>
      </c>
      <c r="V6" s="11" t="s">
        <v>7</v>
      </c>
      <c r="W6" s="141" t="s">
        <v>17</v>
      </c>
    </row>
    <row r="7" spans="2:23" ht="13.5" thickBot="1">
      <c r="B7" s="81"/>
      <c r="C7" s="28">
        <v>30</v>
      </c>
      <c r="D7" s="29">
        <f t="shared" si="0"/>
        <v>34.523399999999995</v>
      </c>
      <c r="E7" s="82">
        <f t="shared" si="1"/>
        <v>55.5600266496</v>
      </c>
      <c r="G7" s="95"/>
      <c r="H7" s="28">
        <v>28.4</v>
      </c>
      <c r="I7" s="96">
        <f t="shared" si="2"/>
        <v>961.5374331550801</v>
      </c>
      <c r="J7" s="2"/>
      <c r="K7" s="95"/>
      <c r="L7" s="57">
        <v>20</v>
      </c>
      <c r="M7" s="16">
        <f>L7/4.546</f>
        <v>4.399472063352397</v>
      </c>
      <c r="N7" s="16">
        <f>M7/0.8</f>
        <v>5.499340079190496</v>
      </c>
      <c r="O7" s="115">
        <f>M7*7.2</f>
        <v>31.676198856137262</v>
      </c>
      <c r="Q7" s="142">
        <v>140</v>
      </c>
      <c r="R7" s="14">
        <v>1</v>
      </c>
      <c r="S7" s="15">
        <f>Q7*R7/60</f>
        <v>2.3333333333333335</v>
      </c>
      <c r="T7" s="16">
        <f>S7/PI()</f>
        <v>0.7427230677621783</v>
      </c>
      <c r="U7" s="14">
        <v>1</v>
      </c>
      <c r="V7" s="16">
        <f>(Q7*U7/60)+T7</f>
        <v>3.076056401095512</v>
      </c>
      <c r="W7" s="143">
        <f>ATAN(T7*1.1/V7)*180/PI()</f>
        <v>14.874253430859191</v>
      </c>
    </row>
    <row r="8" spans="2:23" ht="13.5" thickBot="1">
      <c r="B8" s="81"/>
      <c r="C8" s="28">
        <v>40</v>
      </c>
      <c r="D8" s="29">
        <f t="shared" si="0"/>
        <v>46.0312</v>
      </c>
      <c r="E8" s="82">
        <f t="shared" si="1"/>
        <v>74.0800355328</v>
      </c>
      <c r="G8" s="95"/>
      <c r="H8" s="28">
        <v>28.6</v>
      </c>
      <c r="I8" s="96">
        <f t="shared" si="2"/>
        <v>968.3088235294118</v>
      </c>
      <c r="J8" s="2"/>
      <c r="K8" s="95"/>
      <c r="L8" s="6"/>
      <c r="M8" s="6"/>
      <c r="N8" s="6"/>
      <c r="O8" s="105"/>
      <c r="Q8" s="81"/>
      <c r="R8" s="6"/>
      <c r="S8" s="6"/>
      <c r="T8" s="6"/>
      <c r="U8" s="6"/>
      <c r="V8" s="6"/>
      <c r="W8" s="105"/>
    </row>
    <row r="9" spans="2:23" ht="13.5" thickBot="1">
      <c r="B9" s="81"/>
      <c r="C9" s="28">
        <v>50</v>
      </c>
      <c r="D9" s="29">
        <f t="shared" si="0"/>
        <v>57.538999999999994</v>
      </c>
      <c r="E9" s="82">
        <f t="shared" si="1"/>
        <v>92.600044416</v>
      </c>
      <c r="G9" s="95"/>
      <c r="H9" s="52">
        <v>28.8</v>
      </c>
      <c r="I9" s="97">
        <f t="shared" si="2"/>
        <v>975.0802139037434</v>
      </c>
      <c r="J9" s="2"/>
      <c r="K9" s="95"/>
      <c r="L9" s="6"/>
      <c r="M9" s="6"/>
      <c r="N9" s="6"/>
      <c r="O9" s="105"/>
      <c r="Q9" s="144" t="s">
        <v>25</v>
      </c>
      <c r="R9" s="8"/>
      <c r="S9" s="44">
        <v>70</v>
      </c>
      <c r="T9" s="8" t="s">
        <v>26</v>
      </c>
      <c r="U9" s="8"/>
      <c r="V9" s="8"/>
      <c r="W9" s="116"/>
    </row>
    <row r="10" spans="2:23" ht="13.5" thickBot="1">
      <c r="B10" s="81"/>
      <c r="C10" s="28">
        <v>60</v>
      </c>
      <c r="D10" s="29">
        <f t="shared" si="0"/>
        <v>69.04679999999999</v>
      </c>
      <c r="E10" s="82">
        <f t="shared" si="1"/>
        <v>111.1200532992</v>
      </c>
      <c r="G10" s="95"/>
      <c r="H10" s="52">
        <v>29</v>
      </c>
      <c r="I10" s="97">
        <f t="shared" si="2"/>
        <v>981.8516042780748</v>
      </c>
      <c r="J10" s="2"/>
      <c r="K10" s="95"/>
      <c r="L10" s="32" t="s">
        <v>41</v>
      </c>
      <c r="M10" s="8">
        <v>0.775</v>
      </c>
      <c r="N10" s="8" t="s">
        <v>42</v>
      </c>
      <c r="O10" s="116"/>
      <c r="Q10" s="118" t="s">
        <v>23</v>
      </c>
      <c r="R10" s="21">
        <v>1.5</v>
      </c>
      <c r="S10" s="22">
        <v>2</v>
      </c>
      <c r="T10" s="22">
        <v>3</v>
      </c>
      <c r="U10" s="22">
        <v>4</v>
      </c>
      <c r="V10" s="22">
        <v>5</v>
      </c>
      <c r="W10" s="145">
        <v>6</v>
      </c>
    </row>
    <row r="11" spans="2:23" ht="13.5" thickBot="1">
      <c r="B11" s="81"/>
      <c r="C11" s="28">
        <v>70</v>
      </c>
      <c r="D11" s="29">
        <f t="shared" si="0"/>
        <v>80.5546</v>
      </c>
      <c r="E11" s="82">
        <f t="shared" si="1"/>
        <v>129.6400621824</v>
      </c>
      <c r="G11" s="95"/>
      <c r="H11" s="52">
        <v>29.2</v>
      </c>
      <c r="I11" s="97">
        <f t="shared" si="2"/>
        <v>988.6229946524063</v>
      </c>
      <c r="J11" s="2"/>
      <c r="K11" s="95"/>
      <c r="L11" s="30" t="s">
        <v>36</v>
      </c>
      <c r="M11" s="9" t="s">
        <v>37</v>
      </c>
      <c r="N11" s="9" t="s">
        <v>38</v>
      </c>
      <c r="O11" s="113" t="s">
        <v>39</v>
      </c>
      <c r="Q11" s="146" t="s">
        <v>24</v>
      </c>
      <c r="R11" s="17">
        <f aca="true" t="shared" si="3" ref="R11:W11">R10*60/$E$9/24/60</f>
        <v>0.0006749456805789703</v>
      </c>
      <c r="S11" s="17">
        <f t="shared" si="3"/>
        <v>0.0008999275741052938</v>
      </c>
      <c r="T11" s="17">
        <f t="shared" si="3"/>
        <v>0.0013498913611579406</v>
      </c>
      <c r="U11" s="17">
        <f t="shared" si="3"/>
        <v>0.0017998551482105876</v>
      </c>
      <c r="V11" s="17">
        <f t="shared" si="3"/>
        <v>0.0022498189352632343</v>
      </c>
      <c r="W11" s="147">
        <f t="shared" si="3"/>
        <v>0.002699782722315881</v>
      </c>
    </row>
    <row r="12" spans="2:23" ht="13.5" thickBot="1">
      <c r="B12" s="81"/>
      <c r="C12" s="28">
        <v>80</v>
      </c>
      <c r="D12" s="29">
        <f t="shared" si="0"/>
        <v>92.0624</v>
      </c>
      <c r="E12" s="82">
        <f t="shared" si="1"/>
        <v>148.1600710656</v>
      </c>
      <c r="G12" s="95"/>
      <c r="H12" s="52">
        <v>29.4</v>
      </c>
      <c r="I12" s="97">
        <f t="shared" si="2"/>
        <v>995.3943850267378</v>
      </c>
      <c r="J12" s="2"/>
      <c r="K12" s="95"/>
      <c r="L12" s="56">
        <v>118</v>
      </c>
      <c r="M12" s="31">
        <f>L12/4.546</f>
        <v>25.956885173779146</v>
      </c>
      <c r="N12" s="31">
        <f>M12/0.8</f>
        <v>32.44610646722393</v>
      </c>
      <c r="O12" s="114">
        <f>L12*0.775*2.2</f>
        <v>201.19000000000003</v>
      </c>
      <c r="Q12" s="81"/>
      <c r="R12" s="6"/>
      <c r="S12" s="6"/>
      <c r="T12" s="6"/>
      <c r="U12" s="6"/>
      <c r="V12" s="6"/>
      <c r="W12" s="105"/>
    </row>
    <row r="13" spans="2:23" ht="13.5" thickBot="1">
      <c r="B13" s="81"/>
      <c r="C13" s="28">
        <v>90</v>
      </c>
      <c r="D13" s="29">
        <f t="shared" si="0"/>
        <v>103.57019999999999</v>
      </c>
      <c r="E13" s="82">
        <f t="shared" si="1"/>
        <v>166.6800799488</v>
      </c>
      <c r="G13" s="95"/>
      <c r="H13" s="52">
        <v>29.6</v>
      </c>
      <c r="I13" s="97">
        <f t="shared" si="2"/>
        <v>1002.1657754010696</v>
      </c>
      <c r="J13" s="2"/>
      <c r="K13" s="95"/>
      <c r="L13" s="57">
        <v>20</v>
      </c>
      <c r="M13" s="16">
        <f>L13/4.546</f>
        <v>4.399472063352397</v>
      </c>
      <c r="N13" s="16">
        <f>M13/0.8</f>
        <v>5.499340079190496</v>
      </c>
      <c r="O13" s="115">
        <f>L13*0.775*2.2</f>
        <v>34.1</v>
      </c>
      <c r="Q13" s="117" t="s">
        <v>19</v>
      </c>
      <c r="R13" s="19">
        <v>30</v>
      </c>
      <c r="S13" s="19">
        <v>45</v>
      </c>
      <c r="T13" s="19">
        <v>60</v>
      </c>
      <c r="U13" s="19">
        <v>75</v>
      </c>
      <c r="V13" s="19">
        <v>15</v>
      </c>
      <c r="W13" s="148">
        <v>0</v>
      </c>
    </row>
    <row r="14" spans="2:23" ht="13.5" thickBot="1">
      <c r="B14" s="81"/>
      <c r="C14" s="28">
        <v>100</v>
      </c>
      <c r="D14" s="29">
        <f t="shared" si="0"/>
        <v>115.07799999999999</v>
      </c>
      <c r="E14" s="82">
        <f t="shared" si="1"/>
        <v>185.200088832</v>
      </c>
      <c r="G14" s="95"/>
      <c r="H14" s="52">
        <v>29.8</v>
      </c>
      <c r="I14" s="97">
        <f t="shared" si="2"/>
        <v>1008.937165775401</v>
      </c>
      <c r="J14" s="2"/>
      <c r="K14" s="95"/>
      <c r="L14" s="1"/>
      <c r="M14" s="6"/>
      <c r="N14" s="6"/>
      <c r="O14" s="105"/>
      <c r="Q14" s="146" t="s">
        <v>20</v>
      </c>
      <c r="R14" s="18">
        <f aca="true" t="shared" si="4" ref="R14:W14">COS(R13*PI()/180)</f>
        <v>0.8660254037844387</v>
      </c>
      <c r="S14" s="18">
        <f t="shared" si="4"/>
        <v>0.7071067811865476</v>
      </c>
      <c r="T14" s="18">
        <f t="shared" si="4"/>
        <v>0.5000000000000001</v>
      </c>
      <c r="U14" s="18">
        <f t="shared" si="4"/>
        <v>0.25881904510252074</v>
      </c>
      <c r="V14" s="18">
        <f t="shared" si="4"/>
        <v>0.9659258262890683</v>
      </c>
      <c r="W14" s="149">
        <f t="shared" si="4"/>
        <v>1</v>
      </c>
    </row>
    <row r="15" spans="2:23" ht="13.5" thickBot="1">
      <c r="B15" s="81"/>
      <c r="C15" s="28"/>
      <c r="D15" s="29"/>
      <c r="E15" s="82"/>
      <c r="G15" s="98" t="s">
        <v>52</v>
      </c>
      <c r="H15" s="53">
        <v>29.92</v>
      </c>
      <c r="I15" s="99">
        <f aca="true" t="shared" si="5" ref="I15:I21">H15*1013/29.92</f>
        <v>1013</v>
      </c>
      <c r="J15" s="2"/>
      <c r="K15" s="117"/>
      <c r="L15" s="9" t="s">
        <v>10</v>
      </c>
      <c r="M15" s="9" t="s">
        <v>13</v>
      </c>
      <c r="N15" s="9" t="s">
        <v>34</v>
      </c>
      <c r="O15" s="113" t="s">
        <v>11</v>
      </c>
      <c r="Q15" s="81"/>
      <c r="R15" s="6"/>
      <c r="S15" s="6"/>
      <c r="T15" s="6"/>
      <c r="U15" s="6"/>
      <c r="V15" s="6"/>
      <c r="W15" s="105"/>
    </row>
    <row r="16" spans="2:23" ht="13.5" thickBot="1">
      <c r="B16" s="81"/>
      <c r="C16" s="58">
        <v>52.14</v>
      </c>
      <c r="D16" s="59">
        <f>C16*1.15078</f>
        <v>60.001669199999995</v>
      </c>
      <c r="E16" s="83">
        <f t="shared" si="1"/>
        <v>96.5633263170048</v>
      </c>
      <c r="G16" s="95"/>
      <c r="H16" s="54">
        <v>30</v>
      </c>
      <c r="I16" s="100">
        <f t="shared" si="5"/>
        <v>1015.7085561497325</v>
      </c>
      <c r="J16" s="2"/>
      <c r="K16" s="118" t="s">
        <v>14</v>
      </c>
      <c r="L16" s="123">
        <v>422</v>
      </c>
      <c r="M16" s="31">
        <f>L16/4.546</f>
        <v>92.82886053673559</v>
      </c>
      <c r="N16" s="31">
        <f>M16/0.8</f>
        <v>116.03607567091949</v>
      </c>
      <c r="O16" s="114">
        <f>M16*7.2</f>
        <v>668.3677958644963</v>
      </c>
      <c r="Q16" s="235" t="s">
        <v>16</v>
      </c>
      <c r="R16" s="233"/>
      <c r="S16" s="233"/>
      <c r="T16" s="233"/>
      <c r="U16" s="234"/>
      <c r="V16" s="6"/>
      <c r="W16" s="105"/>
    </row>
    <row r="17" spans="2:23" ht="13.5" thickBot="1">
      <c r="B17" s="81"/>
      <c r="C17" s="1"/>
      <c r="D17" s="1"/>
      <c r="E17" s="84"/>
      <c r="G17" s="95"/>
      <c r="H17" s="28">
        <v>30.2</v>
      </c>
      <c r="I17" s="96">
        <f t="shared" si="5"/>
        <v>1022.4799465240641</v>
      </c>
      <c r="J17" s="2"/>
      <c r="K17" s="119" t="s">
        <v>15</v>
      </c>
      <c r="L17" s="124">
        <v>433</v>
      </c>
      <c r="M17" s="121">
        <f>L17/4.546</f>
        <v>95.2485701715794</v>
      </c>
      <c r="N17" s="121">
        <f>M17/0.8</f>
        <v>119.06071271447425</v>
      </c>
      <c r="O17" s="122">
        <f>M17*7.2</f>
        <v>685.7897052353717</v>
      </c>
      <c r="Q17" s="118" t="s">
        <v>17</v>
      </c>
      <c r="R17" s="12">
        <v>3</v>
      </c>
      <c r="S17" s="12">
        <v>3.25</v>
      </c>
      <c r="T17" s="12">
        <v>3.5</v>
      </c>
      <c r="U17" s="33">
        <v>4</v>
      </c>
      <c r="V17" s="6"/>
      <c r="W17" s="105"/>
    </row>
    <row r="18" spans="2:23" ht="14.25" thickBot="1" thickTop="1">
      <c r="B18" s="81"/>
      <c r="C18" s="23" t="s">
        <v>44</v>
      </c>
      <c r="D18" s="27" t="s">
        <v>5</v>
      </c>
      <c r="E18" s="85" t="s">
        <v>45</v>
      </c>
      <c r="G18" s="95"/>
      <c r="H18" s="28">
        <v>30.4</v>
      </c>
      <c r="I18" s="96">
        <f t="shared" si="5"/>
        <v>1029.2513368983955</v>
      </c>
      <c r="J18" s="2"/>
      <c r="M18" s="2"/>
      <c r="N18" s="2"/>
      <c r="O18" s="2"/>
      <c r="Q18" s="146" t="s">
        <v>18</v>
      </c>
      <c r="R18" s="34">
        <f>SIN(R17*PI()/180)*5280</f>
        <v>276.3338489627434</v>
      </c>
      <c r="S18" s="34">
        <f>SIN(S17*PI()/180)*5280</f>
        <v>299.3379183346333</v>
      </c>
      <c r="T18" s="34">
        <f>SIN(T17*PI()/180)*5280</f>
        <v>322.3362887440443</v>
      </c>
      <c r="U18" s="35">
        <f>SIN(U17*PI()/180)*5280</f>
        <v>368.3141813689816</v>
      </c>
      <c r="V18" s="6"/>
      <c r="W18" s="105"/>
    </row>
    <row r="19" spans="2:23" ht="14.25" thickBot="1" thickTop="1">
      <c r="B19" s="81"/>
      <c r="C19" s="28">
        <v>10</v>
      </c>
      <c r="D19" s="29">
        <f aca="true" t="shared" si="6" ref="D19:D27">C19*0.869</f>
        <v>8.69</v>
      </c>
      <c r="E19" s="82">
        <f>C19*1.609344</f>
        <v>16.09344</v>
      </c>
      <c r="G19" s="95"/>
      <c r="H19" s="28">
        <v>30.6</v>
      </c>
      <c r="I19" s="96">
        <f t="shared" si="5"/>
        <v>1036.0227272727273</v>
      </c>
      <c r="J19" s="2"/>
      <c r="K19" s="92" t="s">
        <v>70</v>
      </c>
      <c r="L19" s="125" t="s">
        <v>2</v>
      </c>
      <c r="M19" s="111" t="s">
        <v>23</v>
      </c>
      <c r="N19" s="112" t="s">
        <v>24</v>
      </c>
      <c r="O19" s="2"/>
      <c r="Q19" s="81"/>
      <c r="R19" s="6"/>
      <c r="S19" s="6"/>
      <c r="T19" s="6"/>
      <c r="U19" s="6"/>
      <c r="V19" s="6"/>
      <c r="W19" s="105"/>
    </row>
    <row r="20" spans="2:23" ht="12.75">
      <c r="B20" s="81"/>
      <c r="C20" s="28">
        <v>20</v>
      </c>
      <c r="D20" s="29">
        <f t="shared" si="6"/>
        <v>17.38</v>
      </c>
      <c r="E20" s="82">
        <f>C20*1.609344</f>
        <v>32.18688</v>
      </c>
      <c r="G20" s="95"/>
      <c r="H20" s="28"/>
      <c r="I20" s="96"/>
      <c r="J20" s="2"/>
      <c r="K20" s="95"/>
      <c r="L20" s="38" t="s">
        <v>5</v>
      </c>
      <c r="M20" s="43" t="s">
        <v>46</v>
      </c>
      <c r="N20" s="126" t="s">
        <v>47</v>
      </c>
      <c r="O20" s="2"/>
      <c r="Q20" s="235" t="s">
        <v>32</v>
      </c>
      <c r="R20" s="233"/>
      <c r="S20" s="233"/>
      <c r="T20" s="233"/>
      <c r="U20" s="234"/>
      <c r="V20" s="6"/>
      <c r="W20" s="105"/>
    </row>
    <row r="21" spans="2:23" ht="13.5" thickBot="1">
      <c r="B21" s="81"/>
      <c r="C21" s="28">
        <v>30</v>
      </c>
      <c r="D21" s="29">
        <f t="shared" si="6"/>
        <v>26.07</v>
      </c>
      <c r="E21" s="82">
        <f aca="true" t="shared" si="7" ref="E21:E29">C21*1.609344</f>
        <v>48.28032</v>
      </c>
      <c r="G21" s="101"/>
      <c r="H21" s="89">
        <v>31</v>
      </c>
      <c r="I21" s="102">
        <f t="shared" si="5"/>
        <v>1049.5655080213903</v>
      </c>
      <c r="J21" s="2"/>
      <c r="K21" s="95"/>
      <c r="L21" s="45">
        <v>100</v>
      </c>
      <c r="M21" s="46">
        <v>15</v>
      </c>
      <c r="N21" s="114">
        <f>M21/L21*60</f>
        <v>9</v>
      </c>
      <c r="O21" s="2"/>
      <c r="Q21" s="150" t="s">
        <v>30</v>
      </c>
      <c r="R21" s="36">
        <v>60</v>
      </c>
      <c r="S21" s="36"/>
      <c r="T21" s="36"/>
      <c r="U21" s="37" t="s">
        <v>26</v>
      </c>
      <c r="V21" s="6"/>
      <c r="W21" s="105"/>
    </row>
    <row r="22" spans="2:23" ht="14.25" thickBot="1" thickTop="1">
      <c r="B22" s="81"/>
      <c r="C22" s="28">
        <v>40</v>
      </c>
      <c r="D22" s="29">
        <f t="shared" si="6"/>
        <v>34.76</v>
      </c>
      <c r="E22" s="82">
        <f t="shared" si="7"/>
        <v>64.37376</v>
      </c>
      <c r="J22" s="2"/>
      <c r="K22" s="95"/>
      <c r="L22" s="47">
        <v>130</v>
      </c>
      <c r="M22" s="48">
        <v>6.1</v>
      </c>
      <c r="N22" s="114">
        <f>M22/L22*60</f>
        <v>2.815384615384615</v>
      </c>
      <c r="O22" s="2"/>
      <c r="Q22" s="118" t="s">
        <v>31</v>
      </c>
      <c r="R22" s="12">
        <v>400</v>
      </c>
      <c r="S22" s="12">
        <v>500</v>
      </c>
      <c r="T22" s="12">
        <v>600</v>
      </c>
      <c r="U22" s="33" t="s">
        <v>33</v>
      </c>
      <c r="V22" s="6"/>
      <c r="W22" s="105"/>
    </row>
    <row r="23" spans="2:23" ht="13.5" thickTop="1">
      <c r="B23" s="81"/>
      <c r="C23" s="28">
        <v>50</v>
      </c>
      <c r="D23" s="29">
        <f t="shared" si="6"/>
        <v>43.45</v>
      </c>
      <c r="E23" s="82">
        <f t="shared" si="7"/>
        <v>80.4672</v>
      </c>
      <c r="G23" s="92" t="s">
        <v>68</v>
      </c>
      <c r="H23" s="78" t="s">
        <v>48</v>
      </c>
      <c r="I23" s="94" t="s">
        <v>35</v>
      </c>
      <c r="J23" s="2"/>
      <c r="K23" s="95"/>
      <c r="L23" s="49">
        <v>140</v>
      </c>
      <c r="M23" s="50">
        <v>0.53</v>
      </c>
      <c r="N23" s="114">
        <f>M23/L23*60</f>
        <v>0.22714285714285715</v>
      </c>
      <c r="O23" s="2"/>
      <c r="Q23" s="151" t="s">
        <v>29</v>
      </c>
      <c r="R23" s="39">
        <f>R22/(R21/60*6050)</f>
        <v>0.06611570247933884</v>
      </c>
      <c r="S23" s="39">
        <f>S22/(R21/60*6050)</f>
        <v>0.08264462809917356</v>
      </c>
      <c r="T23" s="39">
        <f>T22/(R21/60*6050)</f>
        <v>0.09917355371900827</v>
      </c>
      <c r="U23" s="40"/>
      <c r="V23" s="6"/>
      <c r="W23" s="105"/>
    </row>
    <row r="24" spans="2:23" ht="13.5" thickBot="1">
      <c r="B24" s="81"/>
      <c r="C24" s="28">
        <v>60</v>
      </c>
      <c r="D24" s="29">
        <f t="shared" si="6"/>
        <v>52.14</v>
      </c>
      <c r="E24" s="82">
        <f t="shared" si="7"/>
        <v>96.56064</v>
      </c>
      <c r="G24" s="95"/>
      <c r="H24" s="55">
        <v>1</v>
      </c>
      <c r="I24" s="103">
        <f>H24*1.609344</f>
        <v>1.609344</v>
      </c>
      <c r="J24" s="2"/>
      <c r="K24" s="101"/>
      <c r="L24" s="127"/>
      <c r="M24" s="120"/>
      <c r="N24" s="128"/>
      <c r="O24" s="2"/>
      <c r="Q24" s="150" t="s">
        <v>30</v>
      </c>
      <c r="R24" s="36">
        <v>70</v>
      </c>
      <c r="S24" s="36"/>
      <c r="T24" s="36"/>
      <c r="U24" s="37" t="s">
        <v>26</v>
      </c>
      <c r="V24" s="6"/>
      <c r="W24" s="105"/>
    </row>
    <row r="25" spans="2:23" ht="14.25" thickBot="1" thickTop="1">
      <c r="B25" s="81"/>
      <c r="C25" s="28">
        <v>70</v>
      </c>
      <c r="D25" s="29">
        <f t="shared" si="6"/>
        <v>60.83</v>
      </c>
      <c r="E25" s="82">
        <f t="shared" si="7"/>
        <v>112.65408000000001</v>
      </c>
      <c r="G25" s="95"/>
      <c r="H25" s="55">
        <v>2</v>
      </c>
      <c r="I25" s="103">
        <f aca="true" t="shared" si="8" ref="I25:I33">H25*1.609344</f>
        <v>3.218688</v>
      </c>
      <c r="J25" s="2"/>
      <c r="M25" s="2"/>
      <c r="N25" s="2"/>
      <c r="O25" s="2"/>
      <c r="Q25" s="118" t="s">
        <v>31</v>
      </c>
      <c r="R25" s="12">
        <v>400</v>
      </c>
      <c r="S25" s="12">
        <v>500</v>
      </c>
      <c r="T25" s="12">
        <v>600</v>
      </c>
      <c r="U25" s="33" t="s">
        <v>33</v>
      </c>
      <c r="V25" s="6"/>
      <c r="W25" s="105"/>
    </row>
    <row r="26" spans="2:23" ht="13.5" thickTop="1">
      <c r="B26" s="81"/>
      <c r="C26" s="28">
        <v>80</v>
      </c>
      <c r="D26" s="29">
        <f t="shared" si="6"/>
        <v>69.52</v>
      </c>
      <c r="E26" s="82">
        <f t="shared" si="7"/>
        <v>128.74752</v>
      </c>
      <c r="G26" s="95"/>
      <c r="H26" s="55">
        <v>3</v>
      </c>
      <c r="I26" s="103">
        <f t="shared" si="8"/>
        <v>4.828032</v>
      </c>
      <c r="J26" s="2"/>
      <c r="K26" s="77" t="s">
        <v>71</v>
      </c>
      <c r="L26" s="129"/>
      <c r="M26" s="93" t="s">
        <v>58</v>
      </c>
      <c r="N26" s="94" t="s">
        <v>59</v>
      </c>
      <c r="O26" s="2"/>
      <c r="Q26" s="151" t="s">
        <v>29</v>
      </c>
      <c r="R26" s="39">
        <f>R25/(R24/60*6050)</f>
        <v>0.05667060212514757</v>
      </c>
      <c r="S26" s="39">
        <f>S25/(R24/60*6050)</f>
        <v>0.07083825265643447</v>
      </c>
      <c r="T26" s="39">
        <f>T25/(R24/60*6050)</f>
        <v>0.08500590318772136</v>
      </c>
      <c r="U26" s="40"/>
      <c r="V26" s="6"/>
      <c r="W26" s="105"/>
    </row>
    <row r="27" spans="2:23" ht="12.75">
      <c r="B27" s="81"/>
      <c r="C27" s="28">
        <v>90</v>
      </c>
      <c r="D27" s="29">
        <f t="shared" si="6"/>
        <v>78.21</v>
      </c>
      <c r="E27" s="82">
        <f t="shared" si="7"/>
        <v>144.84096</v>
      </c>
      <c r="G27" s="95"/>
      <c r="H27" s="55">
        <v>4</v>
      </c>
      <c r="I27" s="103">
        <f t="shared" si="8"/>
        <v>6.437376</v>
      </c>
      <c r="J27" s="2"/>
      <c r="K27" s="130"/>
      <c r="L27" s="1"/>
      <c r="M27" s="25">
        <v>10</v>
      </c>
      <c r="N27" s="103">
        <f>M27*0.4536/6.452</f>
        <v>0.7030378177309361</v>
      </c>
      <c r="O27" s="2"/>
      <c r="Q27" s="118" t="s">
        <v>30</v>
      </c>
      <c r="R27" s="12">
        <v>80</v>
      </c>
      <c r="S27" s="12"/>
      <c r="T27" s="12"/>
      <c r="U27" s="33" t="s">
        <v>26</v>
      </c>
      <c r="V27" s="6"/>
      <c r="W27" s="152"/>
    </row>
    <row r="28" spans="2:23" ht="12.75">
      <c r="B28" s="81"/>
      <c r="C28" s="28"/>
      <c r="D28" s="29"/>
      <c r="E28" s="82"/>
      <c r="G28" s="95"/>
      <c r="H28" s="55">
        <v>5</v>
      </c>
      <c r="I28" s="103">
        <f t="shared" si="8"/>
        <v>8.04672</v>
      </c>
      <c r="J28" s="2"/>
      <c r="K28" s="95"/>
      <c r="L28" s="1"/>
      <c r="M28" s="25">
        <v>20</v>
      </c>
      <c r="N28" s="103">
        <f aca="true" t="shared" si="9" ref="N28:N33">M28*0.4536/6.452</f>
        <v>1.4060756354618722</v>
      </c>
      <c r="O28" s="2"/>
      <c r="Q28" s="118" t="s">
        <v>31</v>
      </c>
      <c r="R28" s="12">
        <v>400</v>
      </c>
      <c r="S28" s="12">
        <v>500</v>
      </c>
      <c r="T28" s="12">
        <v>600</v>
      </c>
      <c r="U28" s="33" t="s">
        <v>33</v>
      </c>
      <c r="V28" s="6"/>
      <c r="W28" s="105"/>
    </row>
    <row r="29" spans="2:23" ht="13.5" thickBot="1">
      <c r="B29" s="81"/>
      <c r="C29" s="58">
        <v>60</v>
      </c>
      <c r="D29" s="59">
        <f>C29*0.869</f>
        <v>52.14</v>
      </c>
      <c r="E29" s="83">
        <f t="shared" si="7"/>
        <v>96.56064</v>
      </c>
      <c r="G29" s="95"/>
      <c r="H29" s="55">
        <v>6</v>
      </c>
      <c r="I29" s="103">
        <f t="shared" si="8"/>
        <v>9.656064</v>
      </c>
      <c r="J29" s="2"/>
      <c r="K29" s="95"/>
      <c r="L29" s="1"/>
      <c r="M29" s="25">
        <v>30</v>
      </c>
      <c r="N29" s="103">
        <f t="shared" si="9"/>
        <v>2.1091134531928084</v>
      </c>
      <c r="Q29" s="146" t="s">
        <v>29</v>
      </c>
      <c r="R29" s="41">
        <f>R28/(R27/60*6050)</f>
        <v>0.049586776859504134</v>
      </c>
      <c r="S29" s="41">
        <f>S28/(R27/60*6050)</f>
        <v>0.06198347107438017</v>
      </c>
      <c r="T29" s="41">
        <f>T28/(R27/60*6050)</f>
        <v>0.0743801652892562</v>
      </c>
      <c r="U29" s="42"/>
      <c r="V29" s="6"/>
      <c r="W29" s="105"/>
    </row>
    <row r="30" spans="2:23" ht="13.5" thickBot="1">
      <c r="B30" s="81"/>
      <c r="C30" s="1"/>
      <c r="D30" s="1"/>
      <c r="E30" s="84"/>
      <c r="G30" s="95"/>
      <c r="H30" s="55">
        <v>7</v>
      </c>
      <c r="I30" s="103">
        <f t="shared" si="8"/>
        <v>11.265408</v>
      </c>
      <c r="K30" s="95"/>
      <c r="L30" s="1"/>
      <c r="M30" s="25">
        <v>40</v>
      </c>
      <c r="N30" s="103">
        <f t="shared" si="9"/>
        <v>2.8121512709237444</v>
      </c>
      <c r="Q30" s="95"/>
      <c r="R30" s="1"/>
      <c r="S30" s="1"/>
      <c r="T30" s="1"/>
      <c r="U30" s="1"/>
      <c r="V30" s="6"/>
      <c r="W30" s="105"/>
    </row>
    <row r="31" spans="2:23" ht="13.5" thickBot="1">
      <c r="B31" s="81"/>
      <c r="C31" s="60" t="s">
        <v>45</v>
      </c>
      <c r="D31" s="61" t="s">
        <v>5</v>
      </c>
      <c r="E31" s="86" t="s">
        <v>44</v>
      </c>
      <c r="G31" s="95"/>
      <c r="H31" s="55">
        <v>8</v>
      </c>
      <c r="I31" s="103">
        <f t="shared" si="8"/>
        <v>12.874752</v>
      </c>
      <c r="K31" s="95"/>
      <c r="L31" s="1"/>
      <c r="M31" s="25">
        <v>50</v>
      </c>
      <c r="N31" s="103">
        <f t="shared" si="9"/>
        <v>3.515189088654681</v>
      </c>
      <c r="Q31" s="95"/>
      <c r="R31" s="232" t="s">
        <v>53</v>
      </c>
      <c r="S31" s="233"/>
      <c r="T31" s="234"/>
      <c r="U31" s="1"/>
      <c r="V31" s="6"/>
      <c r="W31" s="105"/>
    </row>
    <row r="32" spans="2:23" ht="13.5" thickBot="1">
      <c r="B32" s="81"/>
      <c r="C32" s="23">
        <v>10</v>
      </c>
      <c r="D32" s="62">
        <f>C32*0.54</f>
        <v>5.4</v>
      </c>
      <c r="E32" s="87">
        <f>C32*0.6214</f>
        <v>6.2139999999999995</v>
      </c>
      <c r="G32" s="95"/>
      <c r="H32" s="55">
        <v>9</v>
      </c>
      <c r="I32" s="103">
        <f t="shared" si="8"/>
        <v>14.484096000000001</v>
      </c>
      <c r="K32" s="95"/>
      <c r="L32" s="1"/>
      <c r="M32" s="25">
        <v>60</v>
      </c>
      <c r="N32" s="103">
        <f t="shared" si="9"/>
        <v>4.218226906385617</v>
      </c>
      <c r="Q32" s="95"/>
      <c r="R32" s="10" t="s">
        <v>2</v>
      </c>
      <c r="S32" s="11" t="s">
        <v>3</v>
      </c>
      <c r="T32" s="13" t="s">
        <v>54</v>
      </c>
      <c r="U32" s="1"/>
      <c r="V32" s="6"/>
      <c r="W32" s="105"/>
    </row>
    <row r="33" spans="2:23" ht="13.5" thickBot="1">
      <c r="B33" s="81"/>
      <c r="C33" s="28">
        <v>20</v>
      </c>
      <c r="D33" s="62">
        <f aca="true" t="shared" si="10" ref="D33:D43">C33*0.54</f>
        <v>10.8</v>
      </c>
      <c r="E33" s="82">
        <f aca="true" t="shared" si="11" ref="E33:E43">C33*0.6214</f>
        <v>12.427999999999999</v>
      </c>
      <c r="G33" s="95"/>
      <c r="H33" s="20">
        <v>10</v>
      </c>
      <c r="I33" s="104">
        <f t="shared" si="8"/>
        <v>16.09344</v>
      </c>
      <c r="K33" s="95"/>
      <c r="L33" s="1"/>
      <c r="M33" s="26">
        <v>70</v>
      </c>
      <c r="N33" s="104">
        <f t="shared" si="9"/>
        <v>4.921264724116553</v>
      </c>
      <c r="Q33" s="95"/>
      <c r="R33" s="10" t="s">
        <v>26</v>
      </c>
      <c r="S33" s="11" t="s">
        <v>55</v>
      </c>
      <c r="T33" s="229" t="s">
        <v>56</v>
      </c>
      <c r="U33" s="1"/>
      <c r="V33" s="6"/>
      <c r="W33" s="105"/>
    </row>
    <row r="34" spans="2:23" ht="13.5" thickBot="1">
      <c r="B34" s="81"/>
      <c r="C34" s="28">
        <v>30</v>
      </c>
      <c r="D34" s="29">
        <f t="shared" si="10"/>
        <v>16.200000000000003</v>
      </c>
      <c r="E34" s="82">
        <f t="shared" si="11"/>
        <v>18.642</v>
      </c>
      <c r="G34" s="95"/>
      <c r="H34" s="6"/>
      <c r="I34" s="105"/>
      <c r="K34" s="101"/>
      <c r="L34" s="131"/>
      <c r="M34" s="108">
        <v>72</v>
      </c>
      <c r="N34" s="132">
        <f>M34*0.4536/6.452</f>
        <v>5.06187228766274</v>
      </c>
      <c r="Q34" s="95"/>
      <c r="R34" s="20">
        <v>100</v>
      </c>
      <c r="S34" s="227">
        <v>7</v>
      </c>
      <c r="T34" s="228">
        <f>S34</f>
        <v>7</v>
      </c>
      <c r="U34" s="1"/>
      <c r="V34" s="6"/>
      <c r="W34" s="105"/>
    </row>
    <row r="35" spans="2:23" ht="14.25" thickBot="1" thickTop="1">
      <c r="B35" s="81"/>
      <c r="C35" s="28">
        <v>40</v>
      </c>
      <c r="D35" s="29">
        <f t="shared" si="10"/>
        <v>21.6</v>
      </c>
      <c r="E35" s="82">
        <f t="shared" si="11"/>
        <v>24.855999999999998</v>
      </c>
      <c r="G35" s="95"/>
      <c r="H35" s="6"/>
      <c r="I35" s="105"/>
      <c r="Q35" s="81"/>
      <c r="U35" s="6"/>
      <c r="V35" s="6"/>
      <c r="W35" s="105"/>
    </row>
    <row r="36" spans="2:23" ht="13.5" thickTop="1">
      <c r="B36" s="81"/>
      <c r="C36" s="28">
        <v>50</v>
      </c>
      <c r="D36" s="29">
        <f t="shared" si="10"/>
        <v>27</v>
      </c>
      <c r="E36" s="82">
        <f t="shared" si="11"/>
        <v>31.069999999999997</v>
      </c>
      <c r="G36" s="95"/>
      <c r="H36" s="23" t="s">
        <v>49</v>
      </c>
      <c r="I36" s="106" t="s">
        <v>35</v>
      </c>
      <c r="K36" s="77" t="s">
        <v>80</v>
      </c>
      <c r="L36" s="129"/>
      <c r="M36" s="93" t="s">
        <v>33</v>
      </c>
      <c r="N36" s="168" t="s">
        <v>26</v>
      </c>
      <c r="O36" s="94" t="s">
        <v>81</v>
      </c>
      <c r="Q36" s="81"/>
      <c r="U36" s="6"/>
      <c r="V36" s="6"/>
      <c r="W36" s="105"/>
    </row>
    <row r="37" spans="2:23" ht="12.75">
      <c r="B37" s="81"/>
      <c r="C37" s="28">
        <v>60</v>
      </c>
      <c r="D37" s="29">
        <f t="shared" si="10"/>
        <v>32.400000000000006</v>
      </c>
      <c r="E37" s="82">
        <f t="shared" si="11"/>
        <v>37.284</v>
      </c>
      <c r="G37" s="95"/>
      <c r="H37" s="55">
        <v>1</v>
      </c>
      <c r="I37" s="107">
        <f>H37*1.852</f>
        <v>1.852</v>
      </c>
      <c r="K37" s="130"/>
      <c r="L37" s="1"/>
      <c r="M37" s="25">
        <v>100</v>
      </c>
      <c r="N37" s="169">
        <f>M37*0.009874</f>
        <v>0.9874</v>
      </c>
      <c r="O37" s="103">
        <f>M37*0.018287</f>
        <v>1.8287000000000002</v>
      </c>
      <c r="Q37" s="95"/>
      <c r="U37" s="1"/>
      <c r="V37" s="1"/>
      <c r="W37" s="105"/>
    </row>
    <row r="38" spans="2:23" ht="12.75">
      <c r="B38" s="81"/>
      <c r="C38" s="28">
        <v>70</v>
      </c>
      <c r="D38" s="29">
        <f t="shared" si="10"/>
        <v>37.800000000000004</v>
      </c>
      <c r="E38" s="82">
        <f t="shared" si="11"/>
        <v>43.498</v>
      </c>
      <c r="G38" s="95"/>
      <c r="H38" s="55">
        <v>2</v>
      </c>
      <c r="I38" s="107">
        <f aca="true" t="shared" si="12" ref="I38:I46">H38*1.852</f>
        <v>3.704</v>
      </c>
      <c r="K38" s="95"/>
      <c r="L38" s="1"/>
      <c r="M38" s="25">
        <v>200</v>
      </c>
      <c r="N38" s="169">
        <f aca="true" t="shared" si="13" ref="N38:N44">M38*0.009874</f>
        <v>1.9748</v>
      </c>
      <c r="O38" s="103">
        <f aca="true" t="shared" si="14" ref="O38:O44">M38*0.018287</f>
        <v>3.6574000000000004</v>
      </c>
      <c r="Q38" s="95"/>
      <c r="U38" s="1"/>
      <c r="V38" s="1"/>
      <c r="W38" s="105"/>
    </row>
    <row r="39" spans="2:23" ht="12.75">
      <c r="B39" s="81"/>
      <c r="C39" s="28">
        <v>80</v>
      </c>
      <c r="D39" s="29">
        <f t="shared" si="10"/>
        <v>43.2</v>
      </c>
      <c r="E39" s="82">
        <f t="shared" si="11"/>
        <v>49.711999999999996</v>
      </c>
      <c r="G39" s="95"/>
      <c r="H39" s="55">
        <v>3</v>
      </c>
      <c r="I39" s="107">
        <f t="shared" si="12"/>
        <v>5.556</v>
      </c>
      <c r="K39" s="95"/>
      <c r="L39" s="1"/>
      <c r="M39" s="25">
        <v>300</v>
      </c>
      <c r="N39" s="169">
        <f t="shared" si="13"/>
        <v>2.9622</v>
      </c>
      <c r="O39" s="103">
        <f t="shared" si="14"/>
        <v>5.4861</v>
      </c>
      <c r="Q39" s="95"/>
      <c r="U39" s="1"/>
      <c r="V39" s="1"/>
      <c r="W39" s="105"/>
    </row>
    <row r="40" spans="2:23" ht="12.75">
      <c r="B40" s="81"/>
      <c r="C40" s="28">
        <v>90</v>
      </c>
      <c r="D40" s="29">
        <f t="shared" si="10"/>
        <v>48.6</v>
      </c>
      <c r="E40" s="82">
        <f t="shared" si="11"/>
        <v>55.925999999999995</v>
      </c>
      <c r="G40" s="95"/>
      <c r="H40" s="55">
        <v>4</v>
      </c>
      <c r="I40" s="107">
        <f t="shared" si="12"/>
        <v>7.408</v>
      </c>
      <c r="J40" s="2"/>
      <c r="K40" s="95"/>
      <c r="L40" s="1"/>
      <c r="M40" s="25">
        <v>400</v>
      </c>
      <c r="N40" s="169">
        <f t="shared" si="13"/>
        <v>3.9496</v>
      </c>
      <c r="O40" s="103">
        <f t="shared" si="14"/>
        <v>7.314800000000001</v>
      </c>
      <c r="Q40" s="95"/>
      <c r="U40" s="1"/>
      <c r="V40" s="1"/>
      <c r="W40" s="105"/>
    </row>
    <row r="41" spans="2:23" ht="12.75">
      <c r="B41" s="81"/>
      <c r="C41" s="28">
        <v>100</v>
      </c>
      <c r="D41" s="29">
        <f t="shared" si="10"/>
        <v>54</v>
      </c>
      <c r="E41" s="82">
        <f t="shared" si="11"/>
        <v>62.13999999999999</v>
      </c>
      <c r="G41" s="95"/>
      <c r="H41" s="55">
        <v>5</v>
      </c>
      <c r="I41" s="107">
        <f t="shared" si="12"/>
        <v>9.26</v>
      </c>
      <c r="J41" s="2"/>
      <c r="K41" s="95"/>
      <c r="L41" s="1"/>
      <c r="M41" s="25">
        <v>500</v>
      </c>
      <c r="N41" s="169">
        <f t="shared" si="13"/>
        <v>4.937</v>
      </c>
      <c r="O41" s="103">
        <f t="shared" si="14"/>
        <v>9.143500000000001</v>
      </c>
      <c r="Q41" s="95"/>
      <c r="U41" s="1"/>
      <c r="V41" s="1"/>
      <c r="W41" s="105"/>
    </row>
    <row r="42" spans="2:23" ht="13.5" thickBot="1">
      <c r="B42" s="81"/>
      <c r="C42" s="28"/>
      <c r="D42" s="29"/>
      <c r="E42" s="82"/>
      <c r="G42" s="95"/>
      <c r="H42" s="55">
        <v>6</v>
      </c>
      <c r="I42" s="107">
        <f t="shared" si="12"/>
        <v>11.112</v>
      </c>
      <c r="K42" s="95"/>
      <c r="L42" s="1"/>
      <c r="M42" s="25">
        <v>1000</v>
      </c>
      <c r="N42" s="169">
        <f t="shared" si="13"/>
        <v>9.874</v>
      </c>
      <c r="O42" s="103">
        <f t="shared" si="14"/>
        <v>18.287000000000003</v>
      </c>
      <c r="Q42" s="101"/>
      <c r="R42" s="131"/>
      <c r="S42" s="131"/>
      <c r="T42" s="131"/>
      <c r="U42" s="131"/>
      <c r="V42" s="131"/>
      <c r="W42" s="153"/>
    </row>
    <row r="43" spans="2:23" ht="14.25" thickBot="1" thickTop="1">
      <c r="B43" s="88"/>
      <c r="C43" s="89">
        <v>290</v>
      </c>
      <c r="D43" s="90">
        <f t="shared" si="10"/>
        <v>156.60000000000002</v>
      </c>
      <c r="E43" s="91">
        <f t="shared" si="11"/>
        <v>180.206</v>
      </c>
      <c r="G43" s="95"/>
      <c r="H43" s="55">
        <v>7</v>
      </c>
      <c r="I43" s="107">
        <f t="shared" si="12"/>
        <v>12.964</v>
      </c>
      <c r="K43" s="95"/>
      <c r="L43" s="1"/>
      <c r="M43" s="26">
        <v>2000</v>
      </c>
      <c r="N43" s="170">
        <f t="shared" si="13"/>
        <v>19.748</v>
      </c>
      <c r="O43" s="104">
        <f t="shared" si="14"/>
        <v>36.574000000000005</v>
      </c>
      <c r="Q43" s="2"/>
      <c r="R43" s="2"/>
      <c r="S43" s="2"/>
      <c r="T43" s="2"/>
      <c r="W43" s="2"/>
    </row>
    <row r="44" spans="2:23" ht="14.25" thickBot="1" thickTop="1">
      <c r="B44" s="2"/>
      <c r="C44" s="7"/>
      <c r="D44" s="7"/>
      <c r="E44" s="7"/>
      <c r="G44" s="95"/>
      <c r="H44" s="55">
        <v>8</v>
      </c>
      <c r="I44" s="107">
        <f t="shared" si="12"/>
        <v>14.816</v>
      </c>
      <c r="K44" s="101"/>
      <c r="L44" s="131"/>
      <c r="M44" s="108"/>
      <c r="N44" s="171">
        <f t="shared" si="13"/>
        <v>0</v>
      </c>
      <c r="O44" s="132">
        <f t="shared" si="14"/>
        <v>0</v>
      </c>
      <c r="Q44" s="2"/>
      <c r="R44" s="2"/>
      <c r="S44" s="2"/>
      <c r="T44" s="2"/>
      <c r="W44" s="2"/>
    </row>
    <row r="45" spans="2:23" ht="13.5" thickTop="1">
      <c r="B45" s="4" t="s">
        <v>66</v>
      </c>
      <c r="C45" s="51" t="s">
        <v>12</v>
      </c>
      <c r="D45" s="24" t="s">
        <v>64</v>
      </c>
      <c r="E45" s="71" t="s">
        <v>63</v>
      </c>
      <c r="G45" s="95"/>
      <c r="H45" s="55">
        <v>20</v>
      </c>
      <c r="I45" s="107">
        <f t="shared" si="12"/>
        <v>37.04</v>
      </c>
      <c r="M45" s="2"/>
      <c r="N45" s="2"/>
      <c r="O45" s="2"/>
      <c r="T45" s="2"/>
      <c r="W45" s="2"/>
    </row>
    <row r="46" spans="2:23" ht="13.5" thickBot="1">
      <c r="B46" s="2"/>
      <c r="C46" s="75">
        <v>0</v>
      </c>
      <c r="D46" s="76">
        <v>250</v>
      </c>
      <c r="E46" s="72">
        <f>((C46*14)+D46)/2.2</f>
        <v>113.63636363636363</v>
      </c>
      <c r="G46" s="101"/>
      <c r="H46" s="108">
        <v>10</v>
      </c>
      <c r="I46" s="109">
        <f t="shared" si="12"/>
        <v>18.52</v>
      </c>
      <c r="M46" s="2"/>
      <c r="N46" s="2"/>
      <c r="O46" s="2"/>
      <c r="T46" s="2"/>
      <c r="W46" s="2"/>
    </row>
    <row r="47" spans="2:23" ht="13.5" thickTop="1">
      <c r="B47" s="2"/>
      <c r="C47" s="75">
        <v>0</v>
      </c>
      <c r="D47" s="76">
        <v>170</v>
      </c>
      <c r="E47" s="72">
        <f aca="true" t="shared" si="15" ref="E47:E54">((C47*14)+D47)/2.2</f>
        <v>77.27272727272727</v>
      </c>
      <c r="M47" s="2"/>
      <c r="N47" s="2"/>
      <c r="O47" s="2"/>
      <c r="T47" s="2"/>
      <c r="U47" s="2"/>
      <c r="V47" s="2"/>
      <c r="W47" s="2"/>
    </row>
    <row r="48" spans="2:23" ht="12.75">
      <c r="B48" s="2"/>
      <c r="C48" s="75">
        <v>10</v>
      </c>
      <c r="D48" s="76">
        <v>0</v>
      </c>
      <c r="E48" s="72">
        <f t="shared" si="15"/>
        <v>63.63636363636363</v>
      </c>
      <c r="M48" s="2"/>
      <c r="N48" s="2"/>
      <c r="O48" s="2"/>
      <c r="T48" s="2"/>
      <c r="U48" s="2"/>
      <c r="V48" s="2"/>
      <c r="W48" s="2"/>
    </row>
    <row r="49" spans="2:23" ht="12.75">
      <c r="B49" s="2"/>
      <c r="C49" s="75">
        <v>10</v>
      </c>
      <c r="D49" s="76">
        <v>7</v>
      </c>
      <c r="E49" s="72">
        <f t="shared" si="15"/>
        <v>66.81818181818181</v>
      </c>
      <c r="M49" s="2"/>
      <c r="N49" s="2"/>
      <c r="O49" s="2"/>
      <c r="T49" s="2"/>
      <c r="U49" s="2"/>
      <c r="V49" s="2"/>
      <c r="W49" s="2"/>
    </row>
    <row r="50" spans="2:23" ht="12.75">
      <c r="B50" s="2"/>
      <c r="C50" s="75">
        <v>11</v>
      </c>
      <c r="D50" s="76">
        <v>0</v>
      </c>
      <c r="E50" s="72">
        <f t="shared" si="15"/>
        <v>70</v>
      </c>
      <c r="M50" s="2"/>
      <c r="N50" s="2"/>
      <c r="O50" s="2"/>
      <c r="T50" s="2"/>
      <c r="U50" s="2"/>
      <c r="V50" s="2"/>
      <c r="W50" s="2"/>
    </row>
    <row r="51" spans="2:23" ht="12.75">
      <c r="B51" s="2"/>
      <c r="C51" s="75">
        <v>11</v>
      </c>
      <c r="D51" s="76">
        <v>7</v>
      </c>
      <c r="E51" s="72">
        <f t="shared" si="15"/>
        <v>73.18181818181817</v>
      </c>
      <c r="M51" s="2"/>
      <c r="N51" s="2"/>
      <c r="O51" s="2"/>
      <c r="T51" s="2"/>
      <c r="U51" s="2"/>
      <c r="V51" s="2"/>
      <c r="W51" s="2"/>
    </row>
    <row r="52" spans="2:23" ht="12.75">
      <c r="B52" s="2"/>
      <c r="C52" s="75">
        <v>12</v>
      </c>
      <c r="D52" s="76">
        <v>0</v>
      </c>
      <c r="E52" s="72">
        <f t="shared" si="15"/>
        <v>76.36363636363636</v>
      </c>
      <c r="M52" s="2"/>
      <c r="N52" s="2"/>
      <c r="O52" s="2"/>
      <c r="T52" s="2"/>
      <c r="U52" s="2"/>
      <c r="V52" s="2"/>
      <c r="W52" s="2"/>
    </row>
    <row r="53" spans="2:23" ht="12.75">
      <c r="B53" s="2"/>
      <c r="C53" s="75">
        <v>12</v>
      </c>
      <c r="D53" s="76">
        <v>7</v>
      </c>
      <c r="E53" s="72">
        <f t="shared" si="15"/>
        <v>79.54545454545453</v>
      </c>
      <c r="M53" s="2"/>
      <c r="N53" s="2"/>
      <c r="O53" s="2"/>
      <c r="T53" s="2"/>
      <c r="U53" s="2"/>
      <c r="V53" s="2"/>
      <c r="W53" s="2"/>
    </row>
    <row r="54" spans="2:23" ht="13.5" thickBot="1">
      <c r="B54" s="2"/>
      <c r="C54" s="58">
        <v>13</v>
      </c>
      <c r="D54" s="74">
        <v>0</v>
      </c>
      <c r="E54" s="73">
        <f t="shared" si="15"/>
        <v>82.72727272727272</v>
      </c>
      <c r="M54" s="2"/>
      <c r="N54" s="2"/>
      <c r="O54" s="2"/>
      <c r="T54" s="2"/>
      <c r="U54" s="2"/>
      <c r="V54" s="2"/>
      <c r="W54" s="2"/>
    </row>
    <row r="55" spans="2:23" ht="12.75">
      <c r="B55" s="2"/>
      <c r="M55" s="2"/>
      <c r="N55" s="2"/>
      <c r="O55" s="2"/>
      <c r="T55" s="2"/>
      <c r="U55" s="2"/>
      <c r="V55" s="2"/>
      <c r="W55" s="2"/>
    </row>
    <row r="56" spans="2:23" ht="12.75">
      <c r="B56" s="2" t="s">
        <v>82</v>
      </c>
      <c r="C56" t="s">
        <v>83</v>
      </c>
      <c r="M56" s="2"/>
      <c r="N56" s="2"/>
      <c r="O56" s="2"/>
      <c r="T56" s="2"/>
      <c r="U56" s="2"/>
      <c r="V56" s="2"/>
      <c r="W56" s="2"/>
    </row>
    <row r="57" spans="2:23" ht="12.75">
      <c r="B57" s="2"/>
      <c r="M57" s="2"/>
      <c r="N57" s="2"/>
      <c r="O57" s="2"/>
      <c r="Q57" s="2"/>
      <c r="R57" s="2"/>
      <c r="S57" s="2"/>
      <c r="T57" s="2"/>
      <c r="U57" s="2"/>
      <c r="V57" s="2"/>
      <c r="W57" s="2"/>
    </row>
    <row r="58" spans="2:23" ht="12.75">
      <c r="B58" s="2"/>
      <c r="M58" s="2"/>
      <c r="N58" s="2"/>
      <c r="O58" s="2"/>
      <c r="Q58" s="2"/>
      <c r="R58" s="2"/>
      <c r="S58" s="2"/>
      <c r="T58" s="2"/>
      <c r="U58" s="2"/>
      <c r="V58" s="2"/>
      <c r="W58" s="2"/>
    </row>
    <row r="59" spans="2:23" ht="12.75">
      <c r="B59" s="2"/>
      <c r="M59" s="2"/>
      <c r="N59" s="2"/>
      <c r="O59" s="2"/>
      <c r="Q59" s="2"/>
      <c r="R59" s="2"/>
      <c r="S59" s="2"/>
      <c r="T59" s="2"/>
      <c r="U59" s="2"/>
      <c r="V59" s="2"/>
      <c r="W59" s="2"/>
    </row>
  </sheetData>
  <sheetProtection/>
  <mergeCells count="4">
    <mergeCell ref="V4:W4"/>
    <mergeCell ref="R31:T31"/>
    <mergeCell ref="Q20:U20"/>
    <mergeCell ref="Q16:U16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40"/>
  <sheetViews>
    <sheetView zoomScalePageLayoutView="0" workbookViewId="0" topLeftCell="A13">
      <selection activeCell="B14" sqref="B14"/>
    </sheetView>
  </sheetViews>
  <sheetFormatPr defaultColWidth="9.140625" defaultRowHeight="12.75"/>
  <cols>
    <col min="9" max="9" width="11.7109375" style="0" customWidth="1"/>
    <col min="12" max="12" width="10.57421875" style="0" customWidth="1"/>
  </cols>
  <sheetData>
    <row r="2" spans="2:11" ht="31.5" customHeight="1">
      <c r="B2" s="155" t="s">
        <v>77</v>
      </c>
      <c r="C2" s="156"/>
      <c r="D2" s="156"/>
      <c r="E2" s="156"/>
      <c r="F2" s="156"/>
      <c r="I2" s="197" t="s">
        <v>94</v>
      </c>
      <c r="J2" s="198">
        <v>40387</v>
      </c>
      <c r="K2" s="174"/>
    </row>
    <row r="3" spans="2:7" ht="31.5" customHeight="1" thickBot="1">
      <c r="B3" s="236" t="s">
        <v>76</v>
      </c>
      <c r="C3" s="236"/>
      <c r="D3" s="236"/>
      <c r="E3" s="236"/>
      <c r="F3" s="236"/>
      <c r="G3" s="236"/>
    </row>
    <row r="4" spans="2:14" ht="37.5" customHeight="1" thickBot="1">
      <c r="B4" s="237" t="s">
        <v>79</v>
      </c>
      <c r="C4" s="238"/>
      <c r="D4" s="238"/>
      <c r="E4" s="238"/>
      <c r="F4" s="238"/>
      <c r="G4" s="239"/>
      <c r="I4" s="237" t="s">
        <v>78</v>
      </c>
      <c r="J4" s="238"/>
      <c r="K4" s="238"/>
      <c r="L4" s="238"/>
      <c r="M4" s="238"/>
      <c r="N4" s="239"/>
    </row>
    <row r="5" spans="2:14" ht="30" customHeight="1">
      <c r="B5" s="157" t="s">
        <v>17</v>
      </c>
      <c r="C5" s="158" t="s">
        <v>6</v>
      </c>
      <c r="D5" s="158" t="s">
        <v>73</v>
      </c>
      <c r="E5" s="159" t="s">
        <v>74</v>
      </c>
      <c r="F5" s="158" t="s">
        <v>17</v>
      </c>
      <c r="G5" s="160" t="s">
        <v>75</v>
      </c>
      <c r="I5" s="157" t="s">
        <v>17</v>
      </c>
      <c r="J5" s="158" t="s">
        <v>6</v>
      </c>
      <c r="K5" s="158" t="s">
        <v>73</v>
      </c>
      <c r="L5" s="159" t="s">
        <v>74</v>
      </c>
      <c r="M5" s="158" t="s">
        <v>17</v>
      </c>
      <c r="N5" s="160" t="s">
        <v>75</v>
      </c>
    </row>
    <row r="6" spans="2:14" ht="30" customHeight="1" thickBot="1">
      <c r="B6" s="209">
        <v>53</v>
      </c>
      <c r="C6" s="207">
        <v>21</v>
      </c>
      <c r="D6" s="208">
        <v>8.76</v>
      </c>
      <c r="E6" s="162"/>
      <c r="F6" s="161">
        <f>B6</f>
        <v>53</v>
      </c>
      <c r="G6" s="164">
        <f>(D6/60)+C6</f>
        <v>21.146</v>
      </c>
      <c r="I6" s="206">
        <v>6</v>
      </c>
      <c r="J6" s="207">
        <v>30</v>
      </c>
      <c r="K6" s="208">
        <v>10.33</v>
      </c>
      <c r="L6" s="162"/>
      <c r="M6" s="161">
        <f>I6</f>
        <v>6</v>
      </c>
      <c r="N6" s="164">
        <f>(K6/60)+J6</f>
        <v>30.172166666666666</v>
      </c>
    </row>
    <row r="7" spans="2:11" ht="30" customHeight="1" thickBot="1">
      <c r="B7" s="154"/>
      <c r="C7" s="154"/>
      <c r="D7" s="154"/>
      <c r="I7" s="154"/>
      <c r="J7" s="154"/>
      <c r="K7" s="154"/>
    </row>
    <row r="8" spans="2:13" ht="30" customHeight="1">
      <c r="B8" s="157" t="s">
        <v>17</v>
      </c>
      <c r="C8" s="158" t="s">
        <v>6</v>
      </c>
      <c r="D8" s="158" t="s">
        <v>73</v>
      </c>
      <c r="E8" s="159" t="s">
        <v>74</v>
      </c>
      <c r="F8" s="160" t="s">
        <v>17</v>
      </c>
      <c r="I8" s="157" t="s">
        <v>17</v>
      </c>
      <c r="J8" s="158" t="s">
        <v>6</v>
      </c>
      <c r="K8" s="158" t="s">
        <v>73</v>
      </c>
      <c r="L8" s="159" t="s">
        <v>74</v>
      </c>
      <c r="M8" s="160" t="s">
        <v>17</v>
      </c>
    </row>
    <row r="9" spans="2:13" ht="30" customHeight="1" thickBot="1">
      <c r="B9" s="209">
        <v>48</v>
      </c>
      <c r="C9" s="207">
        <v>49</v>
      </c>
      <c r="D9" s="208">
        <v>0</v>
      </c>
      <c r="E9" s="162"/>
      <c r="F9" s="165">
        <f>B9+(C9/60)+(D9/3600)</f>
        <v>48.81666666666667</v>
      </c>
      <c r="I9" s="206">
        <v>123</v>
      </c>
      <c r="J9" s="207">
        <v>19</v>
      </c>
      <c r="K9" s="208">
        <v>0</v>
      </c>
      <c r="L9" s="162"/>
      <c r="M9" s="165">
        <f>I9+(J9/60)+(K9/3600)</f>
        <v>123.31666666666666</v>
      </c>
    </row>
    <row r="10" spans="2:11" ht="30" customHeight="1" thickBot="1">
      <c r="B10" s="154"/>
      <c r="C10" s="154"/>
      <c r="D10" s="154"/>
      <c r="I10" s="154"/>
      <c r="J10" s="154"/>
      <c r="K10" s="154"/>
    </row>
    <row r="11" spans="2:14" ht="30" customHeight="1">
      <c r="B11" s="157" t="s">
        <v>17</v>
      </c>
      <c r="C11" s="158" t="s">
        <v>75</v>
      </c>
      <c r="D11" s="159" t="s">
        <v>74</v>
      </c>
      <c r="E11" s="158" t="s">
        <v>17</v>
      </c>
      <c r="F11" s="158" t="s">
        <v>6</v>
      </c>
      <c r="G11" s="160" t="s">
        <v>73</v>
      </c>
      <c r="I11" s="157" t="s">
        <v>17</v>
      </c>
      <c r="J11" s="158" t="s">
        <v>75</v>
      </c>
      <c r="K11" s="159" t="s">
        <v>74</v>
      </c>
      <c r="L11" s="158" t="s">
        <v>17</v>
      </c>
      <c r="M11" s="158" t="s">
        <v>6</v>
      </c>
      <c r="N11" s="158" t="s">
        <v>73</v>
      </c>
    </row>
    <row r="12" spans="2:14" ht="30" customHeight="1" thickBot="1">
      <c r="B12" s="209">
        <v>48</v>
      </c>
      <c r="C12" s="208">
        <v>33.41</v>
      </c>
      <c r="D12" s="162"/>
      <c r="E12" s="161">
        <f>B12</f>
        <v>48</v>
      </c>
      <c r="F12" s="161">
        <f>INT(C12)</f>
        <v>33</v>
      </c>
      <c r="G12" s="163">
        <f>MOD(C12,2)*60</f>
        <v>84.5999999999998</v>
      </c>
      <c r="I12" s="206">
        <v>3</v>
      </c>
      <c r="J12" s="208">
        <v>42.1</v>
      </c>
      <c r="K12" s="162"/>
      <c r="L12" s="161">
        <f>I12</f>
        <v>3</v>
      </c>
      <c r="M12" s="161">
        <f>INT(J12)</f>
        <v>42</v>
      </c>
      <c r="N12" s="163">
        <f>MOD(J12,2)*60</f>
        <v>6.000000000000085</v>
      </c>
    </row>
    <row r="13" spans="2:11" ht="30" customHeight="1" thickBot="1">
      <c r="B13" s="154"/>
      <c r="C13" s="154"/>
      <c r="D13" s="154"/>
      <c r="I13" s="154"/>
      <c r="J13" s="154"/>
      <c r="K13" s="154"/>
    </row>
    <row r="14" spans="2:12" ht="30" customHeight="1">
      <c r="B14" s="157" t="s">
        <v>17</v>
      </c>
      <c r="C14" s="158" t="s">
        <v>75</v>
      </c>
      <c r="D14" s="159" t="s">
        <v>74</v>
      </c>
      <c r="E14" s="160" t="s">
        <v>17</v>
      </c>
      <c r="I14" s="157" t="s">
        <v>17</v>
      </c>
      <c r="J14" s="158" t="s">
        <v>75</v>
      </c>
      <c r="K14" s="159" t="s">
        <v>74</v>
      </c>
      <c r="L14" s="160" t="s">
        <v>17</v>
      </c>
    </row>
    <row r="15" spans="2:12" ht="30" customHeight="1" thickBot="1">
      <c r="B15" s="209">
        <v>48</v>
      </c>
      <c r="C15" s="208">
        <v>33.41</v>
      </c>
      <c r="D15" s="162"/>
      <c r="E15" s="172">
        <f>B15+(C15/60)</f>
        <v>48.55683333333333</v>
      </c>
      <c r="I15" s="209">
        <v>123</v>
      </c>
      <c r="J15" s="208">
        <v>25.37</v>
      </c>
      <c r="K15" s="162"/>
      <c r="L15" s="172">
        <f>I15+(J15/60)</f>
        <v>123.42283333333333</v>
      </c>
    </row>
    <row r="16" spans="2:11" ht="30" customHeight="1" thickBot="1">
      <c r="B16" s="154"/>
      <c r="C16" s="154"/>
      <c r="D16" s="154"/>
      <c r="I16" s="154"/>
      <c r="J16" s="154"/>
      <c r="K16" s="154"/>
    </row>
    <row r="17" spans="2:13" ht="30" customHeight="1">
      <c r="B17" s="157" t="s">
        <v>17</v>
      </c>
      <c r="C17" s="159" t="s">
        <v>74</v>
      </c>
      <c r="D17" s="158" t="s">
        <v>17</v>
      </c>
      <c r="E17" s="159" t="s">
        <v>6</v>
      </c>
      <c r="F17" s="160" t="s">
        <v>73</v>
      </c>
      <c r="I17" s="157" t="s">
        <v>17</v>
      </c>
      <c r="J17" s="159" t="s">
        <v>74</v>
      </c>
      <c r="K17" s="158" t="s">
        <v>17</v>
      </c>
      <c r="L17" s="159" t="s">
        <v>6</v>
      </c>
      <c r="M17" s="160" t="s">
        <v>73</v>
      </c>
    </row>
    <row r="18" spans="2:13" ht="30" customHeight="1" thickBot="1">
      <c r="B18" s="210">
        <v>52.7017</v>
      </c>
      <c r="C18" s="162"/>
      <c r="D18" s="167">
        <f>INT(B18)</f>
        <v>52</v>
      </c>
      <c r="E18" s="161">
        <f>INT((B18-D18)*60)</f>
        <v>42</v>
      </c>
      <c r="F18" s="164">
        <f>((B18-D18)*60-INT((B18-D18)*60))*60</f>
        <v>6.120000000008758</v>
      </c>
      <c r="I18" s="210">
        <v>3.7017</v>
      </c>
      <c r="J18" s="162"/>
      <c r="K18" s="167">
        <f>INT(I18)</f>
        <v>3</v>
      </c>
      <c r="L18" s="161">
        <f>INT((I18-K18)*60)</f>
        <v>42</v>
      </c>
      <c r="M18" s="164">
        <f>((I18-K18)*60-INT((I18-K18)*60))*60</f>
        <v>6.120000000000658</v>
      </c>
    </row>
    <row r="19" spans="2:11" ht="30" customHeight="1" thickBot="1">
      <c r="B19" s="154"/>
      <c r="C19" s="154"/>
      <c r="D19" s="154"/>
      <c r="I19" s="154"/>
      <c r="J19" s="154"/>
      <c r="K19" s="154"/>
    </row>
    <row r="20" spans="2:12" ht="30" customHeight="1">
      <c r="B20" s="157" t="s">
        <v>17</v>
      </c>
      <c r="C20" s="159" t="s">
        <v>74</v>
      </c>
      <c r="D20" s="158" t="s">
        <v>17</v>
      </c>
      <c r="E20" s="173" t="s">
        <v>75</v>
      </c>
      <c r="I20" s="157" t="s">
        <v>17</v>
      </c>
      <c r="J20" s="159" t="s">
        <v>74</v>
      </c>
      <c r="K20" s="158" t="s">
        <v>17</v>
      </c>
      <c r="L20" s="173" t="s">
        <v>75</v>
      </c>
    </row>
    <row r="21" spans="2:12" ht="30" customHeight="1" thickBot="1">
      <c r="B21" s="210">
        <v>48.55683</v>
      </c>
      <c r="C21" s="162"/>
      <c r="D21" s="167">
        <f>INT(B21)</f>
        <v>48</v>
      </c>
      <c r="E21" s="164">
        <f>(B21-D21)*60</f>
        <v>33.409799999999876</v>
      </c>
      <c r="I21" s="210">
        <v>123.42283</v>
      </c>
      <c r="J21" s="162"/>
      <c r="K21" s="167">
        <f>INT(I21)</f>
        <v>123</v>
      </c>
      <c r="L21" s="164">
        <f>(I21-K21)*60</f>
        <v>25.369800000000282</v>
      </c>
    </row>
    <row r="22" spans="2:4" ht="12.75">
      <c r="B22" s="154"/>
      <c r="C22" s="154"/>
      <c r="D22" s="154"/>
    </row>
    <row r="23" spans="2:9" ht="12.75">
      <c r="B23" s="154"/>
      <c r="C23" s="154"/>
      <c r="D23" s="154"/>
      <c r="I23" s="166"/>
    </row>
    <row r="24" spans="2:4" ht="12.75">
      <c r="B24" s="154"/>
      <c r="C24" s="154"/>
      <c r="D24" s="154"/>
    </row>
    <row r="25" spans="2:4" ht="12.75">
      <c r="B25" s="154"/>
      <c r="C25" s="154"/>
      <c r="D25" s="154"/>
    </row>
    <row r="26" spans="2:4" ht="12.75">
      <c r="B26" s="154"/>
      <c r="C26" s="154"/>
      <c r="D26" s="154"/>
    </row>
    <row r="27" spans="2:4" ht="12.75">
      <c r="B27" s="154"/>
      <c r="C27" s="154"/>
      <c r="D27" s="154"/>
    </row>
    <row r="28" spans="2:4" ht="12.75">
      <c r="B28" s="154"/>
      <c r="C28" s="154"/>
      <c r="D28" s="154"/>
    </row>
    <row r="29" spans="2:4" ht="12.75">
      <c r="B29" s="154"/>
      <c r="C29" s="154"/>
      <c r="D29" s="154"/>
    </row>
    <row r="30" spans="2:4" ht="12.75">
      <c r="B30" s="154"/>
      <c r="C30" s="154"/>
      <c r="D30" s="154"/>
    </row>
    <row r="31" spans="2:4" ht="12.75">
      <c r="B31" s="154"/>
      <c r="C31" s="154"/>
      <c r="D31" s="154"/>
    </row>
    <row r="32" spans="2:4" ht="12.75">
      <c r="B32" s="154"/>
      <c r="C32" s="154"/>
      <c r="D32" s="154"/>
    </row>
    <row r="33" spans="2:4" ht="12.75">
      <c r="B33" s="154"/>
      <c r="C33" s="154"/>
      <c r="D33" s="154"/>
    </row>
    <row r="34" spans="2:4" ht="12.75">
      <c r="B34" s="154"/>
      <c r="C34" s="154"/>
      <c r="D34" s="154"/>
    </row>
    <row r="35" spans="2:4" ht="12.75">
      <c r="B35" s="154"/>
      <c r="C35" s="154"/>
      <c r="D35" s="154"/>
    </row>
    <row r="36" spans="2:4" ht="12.75">
      <c r="B36" s="154"/>
      <c r="C36" s="154"/>
      <c r="D36" s="154"/>
    </row>
    <row r="37" spans="2:4" ht="12.75">
      <c r="B37" s="154"/>
      <c r="C37" s="154"/>
      <c r="D37" s="154"/>
    </row>
    <row r="38" spans="2:4" ht="12.75">
      <c r="B38" s="154"/>
      <c r="C38" s="154"/>
      <c r="D38" s="154"/>
    </row>
    <row r="39" spans="2:4" ht="12.75">
      <c r="B39" s="154"/>
      <c r="C39" s="154"/>
      <c r="D39" s="154"/>
    </row>
    <row r="40" spans="2:4" ht="12.75">
      <c r="B40" s="154"/>
      <c r="C40" s="154"/>
      <c r="D40" s="154"/>
    </row>
  </sheetData>
  <sheetProtection password="C4A2" sheet="1"/>
  <mergeCells count="3">
    <mergeCell ref="B3:G3"/>
    <mergeCell ref="I4:N4"/>
    <mergeCell ref="B4:G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10"/>
  <sheetViews>
    <sheetView zoomScalePageLayoutView="0" workbookViewId="0" topLeftCell="A1">
      <selection activeCell="A1" sqref="A1:M16384"/>
    </sheetView>
  </sheetViews>
  <sheetFormatPr defaultColWidth="9.140625" defaultRowHeight="12.75"/>
  <cols>
    <col min="14" max="14" width="0" style="0" hidden="1" customWidth="1"/>
  </cols>
  <sheetData>
    <row r="1" ht="36.75" customHeight="1"/>
    <row r="2" spans="1:13" ht="18" customHeight="1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33" customHeight="1" thickBo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4" ht="27" customHeight="1">
      <c r="A4" s="211"/>
      <c r="B4" s="240" t="s">
        <v>106</v>
      </c>
      <c r="C4" s="241"/>
      <c r="D4" s="241"/>
      <c r="E4" s="241"/>
      <c r="F4" s="241"/>
      <c r="G4" s="241"/>
      <c r="H4" s="241"/>
      <c r="I4" s="241"/>
      <c r="J4" s="241"/>
      <c r="K4" s="242"/>
      <c r="L4" s="211"/>
      <c r="M4" s="211"/>
      <c r="N4">
        <f>180/(PI())</f>
        <v>57.29577951308232</v>
      </c>
    </row>
    <row r="5" spans="1:14" ht="20.25">
      <c r="A5" s="212"/>
      <c r="B5" s="221" t="s">
        <v>110</v>
      </c>
      <c r="C5" s="243" t="s">
        <v>27</v>
      </c>
      <c r="D5" s="243"/>
      <c r="E5" s="219" t="s">
        <v>107</v>
      </c>
      <c r="F5" s="244" t="s">
        <v>103</v>
      </c>
      <c r="G5" s="245"/>
      <c r="H5" s="219" t="s">
        <v>105</v>
      </c>
      <c r="I5" s="243" t="s">
        <v>28</v>
      </c>
      <c r="J5" s="243"/>
      <c r="K5" s="222" t="s">
        <v>104</v>
      </c>
      <c r="L5" s="212"/>
      <c r="M5" s="212"/>
      <c r="N5">
        <f>PI()/180</f>
        <v>0.017453292519943295</v>
      </c>
    </row>
    <row r="6" spans="1:13" ht="19.5" customHeight="1">
      <c r="A6" s="212"/>
      <c r="B6" s="223" t="s">
        <v>30</v>
      </c>
      <c r="C6" s="218" t="s">
        <v>108</v>
      </c>
      <c r="D6" s="218" t="s">
        <v>2</v>
      </c>
      <c r="E6" s="220"/>
      <c r="F6" s="220" t="s">
        <v>110</v>
      </c>
      <c r="G6" s="220" t="s">
        <v>109</v>
      </c>
      <c r="H6" s="220" t="s">
        <v>19</v>
      </c>
      <c r="I6" s="218" t="s">
        <v>110</v>
      </c>
      <c r="J6" s="218" t="s">
        <v>109</v>
      </c>
      <c r="K6" s="224" t="s">
        <v>2</v>
      </c>
      <c r="L6" s="212"/>
      <c r="M6" s="212"/>
    </row>
    <row r="7" spans="1:13" ht="19.5" customHeight="1" thickBot="1">
      <c r="A7" s="212"/>
      <c r="B7" s="225">
        <v>90</v>
      </c>
      <c r="C7" s="213">
        <v>240</v>
      </c>
      <c r="D7" s="214">
        <v>12</v>
      </c>
      <c r="E7" s="216">
        <v>4</v>
      </c>
      <c r="F7" s="215">
        <v>121</v>
      </c>
      <c r="G7" s="217">
        <f>F7+E7</f>
        <v>125</v>
      </c>
      <c r="H7" s="217">
        <f>ATAN(D7*SIN((180-(F7-C7))*Degrees_to_radians)/(B7+D7*COS((180-(F7-C7))*Degrees_to_radians)))*Radians_to_degrees</f>
        <v>-6.250998566406487</v>
      </c>
      <c r="I7" s="217">
        <f>F7-H7</f>
        <v>127.25099856640648</v>
      </c>
      <c r="J7" s="217">
        <f>E7+I7</f>
        <v>131.25099856640648</v>
      </c>
      <c r="K7" s="226">
        <f>B7*COS((I7-F7)*Degrees_to_radians)-(D7*COS((I7-C7)*Degrees_to_radians))</f>
        <v>94.10523833439902</v>
      </c>
      <c r="L7" s="212"/>
      <c r="M7" s="212"/>
    </row>
    <row r="8" spans="1:13" ht="19.5" customHeight="1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9" spans="1:13" ht="19.5" customHeight="1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0" spans="1:13" ht="19.5" customHeight="1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2" ht="25.5" customHeight="1"/>
  </sheetData>
  <sheetProtection/>
  <mergeCells count="4">
    <mergeCell ref="B4:K4"/>
    <mergeCell ref="C5:D5"/>
    <mergeCell ref="I5:J5"/>
    <mergeCell ref="F5:G5"/>
  </mergeCells>
  <printOptions/>
  <pageMargins left="0.75" right="0.75" top="1" bottom="1" header="0.5" footer="0.5"/>
  <pageSetup horizontalDpi="1200" verticalDpi="1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4"/>
  <sheetViews>
    <sheetView workbookViewId="0" topLeftCell="A1">
      <selection activeCell="B6" sqref="B6:D7"/>
    </sheetView>
  </sheetViews>
  <sheetFormatPr defaultColWidth="9.140625" defaultRowHeight="12.75"/>
  <sheetData>
    <row r="2" spans="1:13" ht="12.7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</row>
    <row r="3" spans="1:13" ht="13.5" thickBot="1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</row>
    <row r="4" spans="1:13" ht="20.25">
      <c r="A4" s="211"/>
      <c r="B4" s="240" t="s">
        <v>111</v>
      </c>
      <c r="C4" s="241"/>
      <c r="D4" s="241"/>
      <c r="E4" s="241"/>
      <c r="F4" s="241"/>
      <c r="G4" s="241"/>
      <c r="H4" s="241"/>
      <c r="I4" s="241"/>
      <c r="J4" s="241"/>
      <c r="K4" s="242"/>
      <c r="L4" s="211"/>
      <c r="M4" s="211"/>
    </row>
    <row r="5" spans="1:13" ht="20.25">
      <c r="A5" s="212"/>
      <c r="B5" s="221" t="s">
        <v>112</v>
      </c>
      <c r="C5" s="218" t="s">
        <v>113</v>
      </c>
      <c r="D5" s="218"/>
      <c r="E5" s="219" t="s">
        <v>107</v>
      </c>
      <c r="F5" s="244" t="s">
        <v>103</v>
      </c>
      <c r="G5" s="245"/>
      <c r="H5" s="219" t="s">
        <v>105</v>
      </c>
      <c r="I5" s="218" t="s">
        <v>28</v>
      </c>
      <c r="J5" s="218"/>
      <c r="K5" s="222" t="s">
        <v>104</v>
      </c>
      <c r="L5" s="212"/>
      <c r="M5" s="212"/>
    </row>
    <row r="6" spans="1:13" ht="20.25">
      <c r="A6" s="212"/>
      <c r="B6" s="223" t="s">
        <v>3</v>
      </c>
      <c r="C6" s="218" t="s">
        <v>2</v>
      </c>
      <c r="D6" s="218"/>
      <c r="E6" s="220"/>
      <c r="F6" s="220" t="s">
        <v>110</v>
      </c>
      <c r="G6" s="220" t="s">
        <v>109</v>
      </c>
      <c r="H6" s="220" t="s">
        <v>19</v>
      </c>
      <c r="I6" s="218" t="s">
        <v>110</v>
      </c>
      <c r="J6" s="218" t="s">
        <v>109</v>
      </c>
      <c r="K6" s="224" t="s">
        <v>2</v>
      </c>
      <c r="L6" s="212"/>
      <c r="M6" s="212"/>
    </row>
    <row r="7" spans="1:13" ht="21" thickBot="1">
      <c r="A7" s="212"/>
      <c r="B7" s="225">
        <v>7</v>
      </c>
      <c r="C7" s="213">
        <v>100</v>
      </c>
      <c r="D7" s="214">
        <f>360/((B7*2*3.142)*60/C7)</f>
        <v>13.640083659179778</v>
      </c>
      <c r="E7" s="216">
        <v>4</v>
      </c>
      <c r="F7" s="215">
        <v>121</v>
      </c>
      <c r="G7" s="217">
        <f>F7+E7</f>
        <v>125</v>
      </c>
      <c r="H7" s="217">
        <f>ATAN(D7*SIN((180-(F7-C7))*Degrees_to_radians)/(B7+D7*COS((180-(F7-C7))*Degrees_to_radians)))*Radians_to_degrees</f>
        <v>-40.44664101888749</v>
      </c>
      <c r="I7" s="217">
        <f>F7-H7</f>
        <v>161.44664101888748</v>
      </c>
      <c r="J7" s="217">
        <f>E7+I7</f>
        <v>165.44664101888748</v>
      </c>
      <c r="K7" s="226">
        <f>B7*COS((I7-F7)*Degrees_to_radians)-(D7*COS((I7-C7)*Degrees_to_radians))</f>
        <v>-1.1925728649056744</v>
      </c>
      <c r="L7" s="212"/>
      <c r="M7" s="212"/>
    </row>
    <row r="8" spans="1:13" ht="12.75">
      <c r="A8" s="211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</row>
    <row r="9" spans="1:13" ht="12.75">
      <c r="A9" s="211"/>
      <c r="B9" s="211"/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1"/>
    </row>
    <row r="10" spans="1:13" ht="12.75">
      <c r="A10" s="211"/>
      <c r="B10" s="211"/>
      <c r="C10" s="211"/>
      <c r="D10" s="211"/>
      <c r="E10" s="211"/>
      <c r="F10" s="211"/>
      <c r="G10" s="211"/>
      <c r="H10" s="211"/>
      <c r="I10" s="211"/>
      <c r="J10" s="211"/>
      <c r="K10" s="211"/>
      <c r="L10" s="211"/>
      <c r="M10" s="211"/>
    </row>
    <row r="14" spans="4:6" ht="12.75">
      <c r="D14">
        <f>B7*2*3.142</f>
        <v>43.988</v>
      </c>
      <c r="E14">
        <f>D14*60/C7</f>
        <v>26.392799999999998</v>
      </c>
      <c r="F14">
        <f>360/E14</f>
        <v>13.640083659179778</v>
      </c>
    </row>
  </sheetData>
  <mergeCells count="2">
    <mergeCell ref="B4:K4"/>
    <mergeCell ref="F5:G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R35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.8515625" style="0" customWidth="1"/>
    <col min="9" max="9" width="5.57421875" style="0" customWidth="1"/>
    <col min="15" max="15" width="12.57421875" style="0" customWidth="1"/>
    <col min="16" max="16" width="9.57421875" style="0" bestFit="1" customWidth="1"/>
  </cols>
  <sheetData>
    <row r="1" spans="2:9" ht="15.75">
      <c r="B1" s="175" t="s">
        <v>21</v>
      </c>
      <c r="D1" s="2"/>
      <c r="E1" s="2"/>
      <c r="F1" s="176" t="s">
        <v>84</v>
      </c>
      <c r="G1" s="177">
        <v>3.6</v>
      </c>
      <c r="H1" s="5">
        <v>40387</v>
      </c>
      <c r="I1" s="5"/>
    </row>
    <row r="2" spans="2:9" ht="15">
      <c r="B2" s="3" t="s">
        <v>85</v>
      </c>
      <c r="D2" s="2"/>
      <c r="E2" s="2"/>
      <c r="F2" s="2"/>
      <c r="G2" s="5"/>
      <c r="H2" s="5"/>
      <c r="I2" s="5"/>
    </row>
    <row r="3" spans="2:9" ht="14.25">
      <c r="B3" s="2"/>
      <c r="C3" s="63" t="s">
        <v>60</v>
      </c>
      <c r="D3" s="2"/>
      <c r="E3" s="2"/>
      <c r="F3" s="2"/>
      <c r="G3" s="5"/>
      <c r="H3" s="5"/>
      <c r="I3" s="5"/>
    </row>
    <row r="4" ht="13.5" thickBot="1"/>
    <row r="5" spans="2:18" ht="13.5" thickTop="1">
      <c r="B5" s="77" t="s">
        <v>86</v>
      </c>
      <c r="C5" s="129"/>
      <c r="D5" s="93" t="s">
        <v>87</v>
      </c>
      <c r="E5" s="168" t="s">
        <v>88</v>
      </c>
      <c r="F5" s="178" t="s">
        <v>24</v>
      </c>
      <c r="G5" s="94" t="s">
        <v>23</v>
      </c>
      <c r="J5" s="77" t="s">
        <v>95</v>
      </c>
      <c r="K5" s="129"/>
      <c r="L5" s="93" t="s">
        <v>88</v>
      </c>
      <c r="M5" s="205" t="s">
        <v>102</v>
      </c>
      <c r="N5" s="168" t="s">
        <v>98</v>
      </c>
      <c r="O5" s="178" t="s">
        <v>100</v>
      </c>
      <c r="P5" s="94" t="s">
        <v>23</v>
      </c>
      <c r="R5" s="200"/>
    </row>
    <row r="6" spans="2:16" ht="12.75">
      <c r="B6" s="179"/>
      <c r="C6" s="6"/>
      <c r="D6" s="180" t="s">
        <v>89</v>
      </c>
      <c r="E6" s="181" t="s">
        <v>81</v>
      </c>
      <c r="F6" s="182" t="s">
        <v>47</v>
      </c>
      <c r="G6" s="183" t="s">
        <v>35</v>
      </c>
      <c r="J6" s="179" t="s">
        <v>96</v>
      </c>
      <c r="K6" s="6"/>
      <c r="L6" s="180" t="s">
        <v>97</v>
      </c>
      <c r="M6" s="202" t="s">
        <v>101</v>
      </c>
      <c r="N6" s="181" t="s">
        <v>99</v>
      </c>
      <c r="O6" s="182" t="s">
        <v>101</v>
      </c>
      <c r="P6" s="183" t="s">
        <v>35</v>
      </c>
    </row>
    <row r="7" spans="2:16" ht="12.75">
      <c r="B7" s="179"/>
      <c r="C7" s="6"/>
      <c r="D7" s="25">
        <v>30</v>
      </c>
      <c r="E7" s="169">
        <v>1</v>
      </c>
      <c r="F7" s="184">
        <v>60</v>
      </c>
      <c r="G7" s="103">
        <f aca="true" t="shared" si="0" ref="G7:G13">D7*E7*F7/60</f>
        <v>30</v>
      </c>
      <c r="J7" s="179"/>
      <c r="K7" s="6"/>
      <c r="L7" s="25">
        <v>100</v>
      </c>
      <c r="M7" s="203">
        <f>L7*60/6020</f>
        <v>0.9966777408637874</v>
      </c>
      <c r="N7" s="189">
        <v>2000</v>
      </c>
      <c r="O7" s="184">
        <v>140</v>
      </c>
      <c r="P7" s="103">
        <f>N7/L7*O7/60</f>
        <v>46.666666666666664</v>
      </c>
    </row>
    <row r="8" spans="2:16" ht="12.75">
      <c r="B8" s="179"/>
      <c r="C8" s="6"/>
      <c r="D8" s="25">
        <v>30</v>
      </c>
      <c r="E8" s="169">
        <v>2</v>
      </c>
      <c r="F8" s="184">
        <v>60</v>
      </c>
      <c r="G8" s="103">
        <f t="shared" si="0"/>
        <v>60</v>
      </c>
      <c r="J8" s="179"/>
      <c r="K8" s="6"/>
      <c r="L8" s="25">
        <v>200</v>
      </c>
      <c r="M8" s="203">
        <f aca="true" t="shared" si="1" ref="M8:M13">L8*60/6020</f>
        <v>1.9933554817275747</v>
      </c>
      <c r="N8" s="189">
        <v>3000</v>
      </c>
      <c r="O8" s="184">
        <v>140</v>
      </c>
      <c r="P8" s="103">
        <f aca="true" t="shared" si="2" ref="P8:P13">N8/L8*O8/60</f>
        <v>35</v>
      </c>
    </row>
    <row r="9" spans="2:16" ht="12.75">
      <c r="B9" s="179"/>
      <c r="C9" s="6"/>
      <c r="D9" s="25">
        <v>30</v>
      </c>
      <c r="E9" s="169">
        <v>4</v>
      </c>
      <c r="F9" s="184">
        <v>30</v>
      </c>
      <c r="G9" s="103">
        <f t="shared" si="0"/>
        <v>60</v>
      </c>
      <c r="J9" s="179"/>
      <c r="K9" s="6"/>
      <c r="L9" s="25">
        <v>300</v>
      </c>
      <c r="M9" s="203">
        <f t="shared" si="1"/>
        <v>2.990033222591362</v>
      </c>
      <c r="N9" s="189">
        <v>4000</v>
      </c>
      <c r="O9" s="184">
        <v>140</v>
      </c>
      <c r="P9" s="103">
        <f t="shared" si="2"/>
        <v>31.11111111111111</v>
      </c>
    </row>
    <row r="10" spans="2:16" ht="12.75">
      <c r="B10" s="179"/>
      <c r="C10" s="6"/>
      <c r="D10" s="25">
        <v>45</v>
      </c>
      <c r="E10" s="169">
        <v>1</v>
      </c>
      <c r="F10" s="184">
        <v>30</v>
      </c>
      <c r="G10" s="103">
        <f t="shared" si="0"/>
        <v>22.5</v>
      </c>
      <c r="J10" s="179"/>
      <c r="K10" s="6"/>
      <c r="L10" s="25">
        <v>300</v>
      </c>
      <c r="M10" s="203">
        <f t="shared" si="1"/>
        <v>2.990033222591362</v>
      </c>
      <c r="N10" s="189">
        <v>5000</v>
      </c>
      <c r="O10" s="184">
        <v>140</v>
      </c>
      <c r="P10" s="103">
        <f t="shared" si="2"/>
        <v>38.88888888888889</v>
      </c>
    </row>
    <row r="11" spans="2:16" ht="12.75">
      <c r="B11" s="179"/>
      <c r="C11" s="6"/>
      <c r="D11" s="25">
        <v>45</v>
      </c>
      <c r="E11" s="169">
        <v>2</v>
      </c>
      <c r="F11" s="184">
        <v>30</v>
      </c>
      <c r="G11" s="103">
        <f t="shared" si="0"/>
        <v>45</v>
      </c>
      <c r="J11" s="179"/>
      <c r="K11" s="6"/>
      <c r="L11" s="25">
        <v>300</v>
      </c>
      <c r="M11" s="203">
        <f t="shared" si="1"/>
        <v>2.990033222591362</v>
      </c>
      <c r="N11" s="189">
        <v>6000</v>
      </c>
      <c r="O11" s="184">
        <v>140</v>
      </c>
      <c r="P11" s="103">
        <f t="shared" si="2"/>
        <v>46.666666666666664</v>
      </c>
    </row>
    <row r="12" spans="2:16" ht="13.5" thickBot="1">
      <c r="B12" s="130"/>
      <c r="C12" s="1"/>
      <c r="D12" s="25">
        <v>45</v>
      </c>
      <c r="E12" s="169">
        <v>4</v>
      </c>
      <c r="F12" s="184">
        <v>30</v>
      </c>
      <c r="G12" s="103">
        <f t="shared" si="0"/>
        <v>90</v>
      </c>
      <c r="J12" s="130"/>
      <c r="K12" s="1"/>
      <c r="L12" s="25">
        <v>300</v>
      </c>
      <c r="M12" s="203">
        <f t="shared" si="1"/>
        <v>2.990033222591362</v>
      </c>
      <c r="N12" s="189">
        <v>7000</v>
      </c>
      <c r="O12" s="184">
        <v>140</v>
      </c>
      <c r="P12" s="103">
        <f t="shared" si="2"/>
        <v>54.44444444444444</v>
      </c>
    </row>
    <row r="13" spans="2:16" ht="13.5" thickBot="1">
      <c r="B13" s="101"/>
      <c r="C13" s="131"/>
      <c r="D13" s="185">
        <v>45</v>
      </c>
      <c r="E13" s="186">
        <v>3.7</v>
      </c>
      <c r="F13" s="187">
        <v>30</v>
      </c>
      <c r="G13" s="188">
        <f t="shared" si="0"/>
        <v>83.25</v>
      </c>
      <c r="J13" s="101"/>
      <c r="K13" s="131"/>
      <c r="L13" s="185">
        <v>330</v>
      </c>
      <c r="M13" s="204">
        <f t="shared" si="1"/>
        <v>3.2890365448504983</v>
      </c>
      <c r="N13" s="199">
        <v>4000</v>
      </c>
      <c r="O13" s="187">
        <v>140</v>
      </c>
      <c r="P13" s="188">
        <f t="shared" si="2"/>
        <v>28.282828282828284</v>
      </c>
    </row>
    <row r="14" ht="14.25" thickBot="1" thickTop="1"/>
    <row r="15" spans="2:9" ht="13.5" thickTop="1">
      <c r="B15" s="77" t="s">
        <v>90</v>
      </c>
      <c r="C15" s="129"/>
      <c r="D15" s="93" t="s">
        <v>87</v>
      </c>
      <c r="E15" s="168" t="s">
        <v>88</v>
      </c>
      <c r="F15" s="178" t="s">
        <v>23</v>
      </c>
      <c r="G15" s="168" t="s">
        <v>91</v>
      </c>
      <c r="H15" s="94" t="s">
        <v>91</v>
      </c>
      <c r="I15" s="11"/>
    </row>
    <row r="16" spans="2:9" ht="12.75">
      <c r="B16" s="179"/>
      <c r="C16" s="6"/>
      <c r="D16" s="180" t="s">
        <v>89</v>
      </c>
      <c r="E16" s="181" t="s">
        <v>81</v>
      </c>
      <c r="F16" s="182" t="s">
        <v>35</v>
      </c>
      <c r="G16" s="181" t="s">
        <v>92</v>
      </c>
      <c r="H16" s="183" t="s">
        <v>93</v>
      </c>
      <c r="I16" s="11"/>
    </row>
    <row r="17" spans="2:9" ht="12.75">
      <c r="B17" s="130"/>
      <c r="C17" s="1"/>
      <c r="D17" s="25">
        <v>30</v>
      </c>
      <c r="E17" s="169">
        <v>1</v>
      </c>
      <c r="F17" s="184">
        <v>30</v>
      </c>
      <c r="G17" s="189">
        <f aca="true" t="shared" si="3" ref="G17:G23">F17/D17*E17*1000</f>
        <v>1000</v>
      </c>
      <c r="H17" s="190">
        <f>G17/0.3048</f>
        <v>3280.839895013123</v>
      </c>
      <c r="I17" s="201"/>
    </row>
    <row r="18" spans="2:9" ht="12.75">
      <c r="B18" s="130"/>
      <c r="C18" s="1"/>
      <c r="D18" s="25">
        <v>30</v>
      </c>
      <c r="E18" s="169">
        <v>2</v>
      </c>
      <c r="F18" s="184">
        <v>30</v>
      </c>
      <c r="G18" s="189">
        <f t="shared" si="3"/>
        <v>2000</v>
      </c>
      <c r="H18" s="190">
        <f aca="true" t="shared" si="4" ref="H18:H23">G18/0.3048</f>
        <v>6561.679790026246</v>
      </c>
      <c r="I18" s="201"/>
    </row>
    <row r="19" spans="2:9" ht="12.75">
      <c r="B19" s="130"/>
      <c r="C19" s="1"/>
      <c r="D19" s="25">
        <v>30</v>
      </c>
      <c r="E19" s="169">
        <v>4</v>
      </c>
      <c r="F19" s="184">
        <v>30</v>
      </c>
      <c r="G19" s="189">
        <f t="shared" si="3"/>
        <v>4000</v>
      </c>
      <c r="H19" s="190">
        <f t="shared" si="4"/>
        <v>13123.359580052493</v>
      </c>
      <c r="I19" s="201"/>
    </row>
    <row r="20" spans="2:9" ht="12.75">
      <c r="B20" s="130"/>
      <c r="C20" s="1"/>
      <c r="D20" s="25">
        <v>45</v>
      </c>
      <c r="E20" s="169">
        <v>1</v>
      </c>
      <c r="F20" s="184">
        <v>30</v>
      </c>
      <c r="G20" s="189">
        <f t="shared" si="3"/>
        <v>666.6666666666666</v>
      </c>
      <c r="H20" s="190">
        <f t="shared" si="4"/>
        <v>2187.2265966754153</v>
      </c>
      <c r="I20" s="201"/>
    </row>
    <row r="21" spans="2:9" ht="12.75">
      <c r="B21" s="130"/>
      <c r="C21" s="1"/>
      <c r="D21" s="25">
        <v>45</v>
      </c>
      <c r="E21" s="169">
        <v>2</v>
      </c>
      <c r="F21" s="184">
        <v>30</v>
      </c>
      <c r="G21" s="189">
        <f t="shared" si="3"/>
        <v>1333.3333333333333</v>
      </c>
      <c r="H21" s="190">
        <f t="shared" si="4"/>
        <v>4374.453193350831</v>
      </c>
      <c r="I21" s="201"/>
    </row>
    <row r="22" spans="2:9" ht="13.5" thickBot="1">
      <c r="B22" s="130"/>
      <c r="C22" s="1"/>
      <c r="D22" s="25">
        <v>45</v>
      </c>
      <c r="E22" s="169">
        <v>4</v>
      </c>
      <c r="F22" s="184">
        <v>30</v>
      </c>
      <c r="G22" s="189">
        <f t="shared" si="3"/>
        <v>2666.6666666666665</v>
      </c>
      <c r="H22" s="190">
        <f t="shared" si="4"/>
        <v>8748.906386701661</v>
      </c>
      <c r="I22" s="201"/>
    </row>
    <row r="23" spans="2:9" ht="13.5" thickBot="1">
      <c r="B23" s="101"/>
      <c r="C23" s="131"/>
      <c r="D23" s="185">
        <v>45</v>
      </c>
      <c r="E23" s="186">
        <v>3.7</v>
      </c>
      <c r="F23" s="187">
        <v>10</v>
      </c>
      <c r="G23" s="191">
        <f t="shared" si="3"/>
        <v>822.2222222222222</v>
      </c>
      <c r="H23" s="192">
        <f t="shared" si="4"/>
        <v>2697.5794692330123</v>
      </c>
      <c r="I23" s="201"/>
    </row>
    <row r="24" ht="14.25" thickBot="1" thickTop="1"/>
    <row r="25" spans="2:6" ht="13.5" thickTop="1">
      <c r="B25" s="77" t="s">
        <v>80</v>
      </c>
      <c r="C25" s="129"/>
      <c r="D25" s="93" t="s">
        <v>33</v>
      </c>
      <c r="E25" s="168" t="s">
        <v>26</v>
      </c>
      <c r="F25" s="94" t="s">
        <v>81</v>
      </c>
    </row>
    <row r="26" spans="2:6" ht="13.5" thickBot="1">
      <c r="B26" s="130"/>
      <c r="C26" s="1"/>
      <c r="D26" s="193">
        <v>100</v>
      </c>
      <c r="E26" s="194">
        <f>D26*0.009874</f>
        <v>0.9874</v>
      </c>
      <c r="F26" s="195">
        <f>D26*0.018287</f>
        <v>1.8287000000000002</v>
      </c>
    </row>
    <row r="27" spans="2:6" ht="13.5" thickBot="1">
      <c r="B27" s="101"/>
      <c r="C27" s="131"/>
      <c r="D27" s="185">
        <v>150</v>
      </c>
      <c r="E27" s="196">
        <f>D27*0.009874</f>
        <v>1.4811</v>
      </c>
      <c r="F27" s="188">
        <f>D27*0.018287</f>
        <v>2.74305</v>
      </c>
    </row>
    <row r="28" ht="14.25" thickBot="1" thickTop="1"/>
    <row r="29" spans="2:6" ht="13.5" thickTop="1">
      <c r="B29" s="77" t="s">
        <v>80</v>
      </c>
      <c r="C29" s="129"/>
      <c r="D29" s="93" t="s">
        <v>26</v>
      </c>
      <c r="E29" s="168" t="s">
        <v>81</v>
      </c>
      <c r="F29" s="94" t="s">
        <v>33</v>
      </c>
    </row>
    <row r="30" spans="2:6" ht="13.5" thickBot="1">
      <c r="B30" s="130"/>
      <c r="C30" s="1"/>
      <c r="D30" s="193">
        <v>1</v>
      </c>
      <c r="E30" s="194">
        <f>D30*1.852</f>
        <v>1.852</v>
      </c>
      <c r="F30" s="195">
        <f>D30*101.3</f>
        <v>101.3</v>
      </c>
    </row>
    <row r="31" spans="2:6" ht="13.5" thickBot="1">
      <c r="B31" s="101"/>
      <c r="C31" s="131"/>
      <c r="D31" s="185">
        <v>2</v>
      </c>
      <c r="E31" s="196">
        <f>D31*1.852</f>
        <v>3.704</v>
      </c>
      <c r="F31" s="188">
        <f>D31*101.3</f>
        <v>202.6</v>
      </c>
    </row>
    <row r="32" ht="14.25" thickBot="1" thickTop="1"/>
    <row r="33" spans="2:6" ht="13.5" thickTop="1">
      <c r="B33" s="77" t="s">
        <v>80</v>
      </c>
      <c r="C33" s="129"/>
      <c r="D33" s="93" t="s">
        <v>81</v>
      </c>
      <c r="E33" s="168" t="s">
        <v>26</v>
      </c>
      <c r="F33" s="94" t="s">
        <v>33</v>
      </c>
    </row>
    <row r="34" spans="2:6" ht="13.5" thickBot="1">
      <c r="B34" s="95"/>
      <c r="C34" s="1"/>
      <c r="D34" s="26">
        <v>1</v>
      </c>
      <c r="E34" s="170">
        <f>D34*0.54</f>
        <v>0.54</v>
      </c>
      <c r="F34" s="104">
        <f>D34*54.68</f>
        <v>54.68</v>
      </c>
    </row>
    <row r="35" spans="2:6" ht="13.5" thickBot="1">
      <c r="B35" s="101"/>
      <c r="C35" s="131"/>
      <c r="D35" s="108">
        <v>2</v>
      </c>
      <c r="E35" s="171">
        <f>D35*1.852</f>
        <v>3.704</v>
      </c>
      <c r="F35" s="132">
        <f>D35*54.68</f>
        <v>109.36</v>
      </c>
    </row>
    <row r="36" ht="13.5" thickTop="1"/>
  </sheetData>
  <sheetProtection password="C4A2" sheet="1"/>
  <printOptions/>
  <pageMargins left="0.7" right="0.7" top="0.75" bottom="0.75" header="0.3" footer="0.3"/>
  <pageSetup horizontalDpi="1200" verticalDpi="12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C119"/>
  <sheetViews>
    <sheetView zoomScalePageLayoutView="0" workbookViewId="0" topLeftCell="A1">
      <selection activeCell="E6" sqref="E6"/>
    </sheetView>
  </sheetViews>
  <sheetFormatPr defaultColWidth="9.140625" defaultRowHeight="12.75"/>
  <cols>
    <col min="3" max="3" width="15.57421875" style="0" customWidth="1"/>
  </cols>
  <sheetData>
    <row r="1" spans="2:3" ht="12.75">
      <c r="B1" s="65" t="s">
        <v>61</v>
      </c>
      <c r="C1" s="66" t="s">
        <v>62</v>
      </c>
    </row>
    <row r="2" spans="2:3" ht="12.75">
      <c r="B2" s="67">
        <v>0.01</v>
      </c>
      <c r="C2" s="68">
        <f>ASIN(B2)/(PI()/180)</f>
        <v>0.5729673448571526</v>
      </c>
    </row>
    <row r="3" spans="2:3" ht="12.75">
      <c r="B3" s="67">
        <v>0.02</v>
      </c>
      <c r="C3" s="68">
        <f aca="true" t="shared" si="0" ref="C3:C66">ASIN(B3)/(PI()/180)</f>
        <v>1.1459919983885927</v>
      </c>
    </row>
    <row r="4" spans="2:3" ht="12.75">
      <c r="B4" s="67">
        <v>0.03</v>
      </c>
      <c r="C4" s="68">
        <f t="shared" si="0"/>
        <v>1.7191313208778112</v>
      </c>
    </row>
    <row r="5" spans="2:3" ht="12.75">
      <c r="B5" s="67">
        <v>0.04</v>
      </c>
      <c r="C5" s="68">
        <f t="shared" si="0"/>
        <v>2.292442775955887</v>
      </c>
    </row>
    <row r="6" spans="2:3" ht="12.75">
      <c r="B6" s="67">
        <v>0.05</v>
      </c>
      <c r="C6" s="68">
        <f t="shared" si="0"/>
        <v>2.8659839825988622</v>
      </c>
    </row>
    <row r="7" spans="2:3" ht="12.75">
      <c r="B7" s="67">
        <v>0.06</v>
      </c>
      <c r="C7" s="68">
        <f t="shared" si="0"/>
        <v>3.4398127675151957</v>
      </c>
    </row>
    <row r="8" spans="2:3" ht="12.75">
      <c r="B8" s="67">
        <v>0.07</v>
      </c>
      <c r="C8" s="68">
        <f t="shared" si="0"/>
        <v>4.0139872180563145</v>
      </c>
    </row>
    <row r="9" spans="2:3" ht="12.75">
      <c r="B9" s="67">
        <v>0.08</v>
      </c>
      <c r="C9" s="68">
        <f t="shared" si="0"/>
        <v>4.588565735785835</v>
      </c>
    </row>
    <row r="10" spans="2:3" ht="12.75">
      <c r="B10" s="67">
        <v>0.09</v>
      </c>
      <c r="C10" s="68">
        <f t="shared" si="0"/>
        <v>5.163607090846379</v>
      </c>
    </row>
    <row r="11" spans="2:3" ht="12.75">
      <c r="B11" s="67">
        <v>0.1</v>
      </c>
      <c r="C11" s="68">
        <f t="shared" si="0"/>
        <v>5.739170477266787</v>
      </c>
    </row>
    <row r="12" spans="2:3" ht="12.75">
      <c r="B12" s="67">
        <v>0.11</v>
      </c>
      <c r="C12" s="68">
        <f t="shared" si="0"/>
        <v>6.315315569357383</v>
      </c>
    </row>
    <row r="13" spans="2:3" ht="12.75">
      <c r="B13" s="67">
        <v>0.12</v>
      </c>
      <c r="C13" s="68">
        <f t="shared" si="0"/>
        <v>6.89210257934638</v>
      </c>
    </row>
    <row r="14" spans="2:3" ht="12.75">
      <c r="B14" s="67">
        <v>0.13</v>
      </c>
      <c r="C14" s="68">
        <f t="shared" si="0"/>
        <v>7.469592316416931</v>
      </c>
    </row>
    <row r="15" spans="2:3" ht="12.75">
      <c r="B15" s="67">
        <v>0.14</v>
      </c>
      <c r="C15" s="68">
        <f t="shared" si="0"/>
        <v>8.047846247311517</v>
      </c>
    </row>
    <row r="16" spans="2:3" ht="12.75">
      <c r="B16" s="67">
        <v>0.15</v>
      </c>
      <c r="C16" s="68">
        <f t="shared" si="0"/>
        <v>8.626926558678639</v>
      </c>
    </row>
    <row r="17" spans="2:3" ht="12.75">
      <c r="B17" s="67">
        <v>0.16</v>
      </c>
      <c r="C17" s="68">
        <f t="shared" si="0"/>
        <v>9.2068962213459</v>
      </c>
    </row>
    <row r="18" spans="2:3" ht="12.75">
      <c r="B18" s="67">
        <v>0.17</v>
      </c>
      <c r="C18" s="68">
        <f t="shared" si="0"/>
        <v>9.787819056713978</v>
      </c>
    </row>
    <row r="19" spans="2:3" ht="12.75">
      <c r="B19" s="67">
        <v>0.18</v>
      </c>
      <c r="C19" s="68">
        <f t="shared" si="0"/>
        <v>10.36975980547742</v>
      </c>
    </row>
    <row r="20" spans="2:3" ht="12.75">
      <c r="B20" s="67">
        <v>0.19</v>
      </c>
      <c r="C20" s="68">
        <f t="shared" si="0"/>
        <v>10.952784198891125</v>
      </c>
    </row>
    <row r="21" spans="2:3" ht="12.75">
      <c r="B21" s="67">
        <v>0.2</v>
      </c>
      <c r="C21" s="68">
        <f t="shared" si="0"/>
        <v>11.53695903281549</v>
      </c>
    </row>
    <row r="22" spans="2:3" ht="12.75">
      <c r="B22" s="67">
        <v>0.21</v>
      </c>
      <c r="C22" s="68">
        <f t="shared" si="0"/>
        <v>12.122352244789111</v>
      </c>
    </row>
    <row r="23" spans="2:3" ht="12.75">
      <c r="B23" s="67">
        <v>0.22</v>
      </c>
      <c r="C23" s="68">
        <f t="shared" si="0"/>
        <v>12.709032994395438</v>
      </c>
    </row>
    <row r="24" spans="2:3" ht="12.75">
      <c r="B24" s="67">
        <v>0.23</v>
      </c>
      <c r="C24" s="68">
        <f t="shared" si="0"/>
        <v>13.297071747209058</v>
      </c>
    </row>
    <row r="25" spans="2:3" ht="12.75">
      <c r="B25" s="67">
        <v>0.24</v>
      </c>
      <c r="C25" s="68">
        <f t="shared" si="0"/>
        <v>13.886540362628992</v>
      </c>
    </row>
    <row r="26" spans="2:3" ht="12.75">
      <c r="B26" s="67">
        <v>0.25</v>
      </c>
      <c r="C26" s="68">
        <f t="shared" si="0"/>
        <v>14.477512185929923</v>
      </c>
    </row>
    <row r="27" spans="2:3" ht="12.75">
      <c r="B27" s="67">
        <v>0.26</v>
      </c>
      <c r="C27" s="68">
        <f t="shared" si="0"/>
        <v>15.070062144888833</v>
      </c>
    </row>
    <row r="28" spans="2:3" ht="12.75">
      <c r="B28" s="67">
        <v>0.27</v>
      </c>
      <c r="C28" s="68">
        <f t="shared" si="0"/>
        <v>15.664266851373524</v>
      </c>
    </row>
    <row r="29" spans="2:3" ht="12.75">
      <c r="B29" s="67">
        <v>0.28</v>
      </c>
      <c r="C29" s="68">
        <f t="shared" si="0"/>
        <v>16.26020470831196</v>
      </c>
    </row>
    <row r="30" spans="2:3" ht="12.75">
      <c r="B30" s="67">
        <v>0.29</v>
      </c>
      <c r="C30" s="68">
        <f t="shared" si="0"/>
        <v>16.857956022497145</v>
      </c>
    </row>
    <row r="31" spans="2:3" ht="12.75">
      <c r="B31" s="67">
        <v>0.3</v>
      </c>
      <c r="C31" s="68">
        <f t="shared" si="0"/>
        <v>17.457603123722095</v>
      </c>
    </row>
    <row r="32" spans="2:3" ht="12.75">
      <c r="B32" s="67">
        <v>0.31</v>
      </c>
      <c r="C32" s="68">
        <f t="shared" si="0"/>
        <v>18.059230490783552</v>
      </c>
    </row>
    <row r="33" spans="2:3" ht="12.75">
      <c r="B33" s="67">
        <v>0.32</v>
      </c>
      <c r="C33" s="68">
        <f t="shared" si="0"/>
        <v>18.66292488494248</v>
      </c>
    </row>
    <row r="34" spans="2:3" ht="12.75">
      <c r="B34" s="67">
        <v>0.33</v>
      </c>
      <c r="C34" s="68">
        <f t="shared" si="0"/>
        <v>19.26877549148377</v>
      </c>
    </row>
    <row r="35" spans="2:3" ht="12.75">
      <c r="B35" s="67">
        <v>0.34</v>
      </c>
      <c r="C35" s="68">
        <f t="shared" si="0"/>
        <v>19.876874070078834</v>
      </c>
    </row>
    <row r="36" spans="2:3" ht="12.75">
      <c r="B36" s="67">
        <v>0.35</v>
      </c>
      <c r="C36" s="68">
        <f t="shared" si="0"/>
        <v>20.487315114722662</v>
      </c>
    </row>
    <row r="37" spans="2:3" ht="12.75">
      <c r="B37" s="67">
        <v>0.36</v>
      </c>
      <c r="C37" s="68">
        <f t="shared" si="0"/>
        <v>21.100196024093023</v>
      </c>
    </row>
    <row r="38" spans="2:3" ht="12.75">
      <c r="B38" s="67">
        <v>0.37</v>
      </c>
      <c r="C38" s="68">
        <f t="shared" si="0"/>
        <v>21.71561728326445</v>
      </c>
    </row>
    <row r="39" spans="2:3" ht="12.75">
      <c r="B39" s="67">
        <v>0.38</v>
      </c>
      <c r="C39" s="68">
        <f t="shared" si="0"/>
        <v>22.3336826578053</v>
      </c>
    </row>
    <row r="40" spans="2:3" ht="12.75">
      <c r="B40" s="67">
        <v>0.39</v>
      </c>
      <c r="C40" s="68">
        <f t="shared" si="0"/>
        <v>22.95449940139281</v>
      </c>
    </row>
    <row r="41" spans="2:3" ht="12.75">
      <c r="B41" s="67">
        <v>0.4</v>
      </c>
      <c r="C41" s="68">
        <f t="shared" si="0"/>
        <v>23.57817847820183</v>
      </c>
    </row>
    <row r="42" spans="2:3" ht="12.75">
      <c r="B42" s="67">
        <v>0.41</v>
      </c>
      <c r="C42" s="68">
        <f t="shared" si="0"/>
        <v>24.204834801458325</v>
      </c>
    </row>
    <row r="43" spans="2:3" ht="12.75">
      <c r="B43" s="67">
        <v>0.42</v>
      </c>
      <c r="C43" s="68">
        <f t="shared" si="0"/>
        <v>24.83458748970158</v>
      </c>
    </row>
    <row r="44" spans="2:3" ht="12.75">
      <c r="B44" s="67">
        <v>0.43</v>
      </c>
      <c r="C44" s="68">
        <f t="shared" si="0"/>
        <v>25.46756014247237</v>
      </c>
    </row>
    <row r="45" spans="2:3" ht="12.75">
      <c r="B45" s="67">
        <v>0.44</v>
      </c>
      <c r="C45" s="68">
        <f t="shared" si="0"/>
        <v>26.1038811373399</v>
      </c>
    </row>
    <row r="46" spans="2:3" ht="12.75">
      <c r="B46" s="67">
        <v>0.45</v>
      </c>
      <c r="C46" s="68">
        <f t="shared" si="0"/>
        <v>26.743683950403007</v>
      </c>
    </row>
    <row r="47" spans="2:3" ht="12.75">
      <c r="B47" s="67">
        <v>0.46</v>
      </c>
      <c r="C47" s="68">
        <f t="shared" si="0"/>
        <v>27.387107502653908</v>
      </c>
    </row>
    <row r="48" spans="2:3" ht="12.75">
      <c r="B48" s="67">
        <v>0.47</v>
      </c>
      <c r="C48" s="68">
        <f t="shared" si="0"/>
        <v>28.03429653488128</v>
      </c>
    </row>
    <row r="49" spans="2:3" ht="12.75">
      <c r="B49" s="67">
        <v>0.48</v>
      </c>
      <c r="C49" s="68">
        <f t="shared" si="0"/>
        <v>28.685402014118925</v>
      </c>
    </row>
    <row r="50" spans="2:3" ht="12.75">
      <c r="B50" s="67">
        <v>0.49</v>
      </c>
      <c r="C50" s="68">
        <f t="shared" si="0"/>
        <v>29.340581575023734</v>
      </c>
    </row>
    <row r="51" spans="2:3" ht="12.75">
      <c r="B51" s="67">
        <v>0.5</v>
      </c>
      <c r="C51" s="68">
        <f t="shared" si="0"/>
        <v>30.000000000000004</v>
      </c>
    </row>
    <row r="52" spans="2:3" ht="12.75">
      <c r="B52" s="67">
        <v>0.51</v>
      </c>
      <c r="C52" s="68">
        <f t="shared" si="0"/>
        <v>30.66382974238597</v>
      </c>
    </row>
    <row r="53" spans="2:3" ht="12.75">
      <c r="B53" s="67">
        <v>0.52</v>
      </c>
      <c r="C53" s="68">
        <f t="shared" si="0"/>
        <v>31.33225149759426</v>
      </c>
    </row>
    <row r="54" spans="2:3" ht="12.75">
      <c r="B54" s="67">
        <v>0.53</v>
      </c>
      <c r="C54" s="68">
        <f t="shared" si="0"/>
        <v>32.00545482776425</v>
      </c>
    </row>
    <row r="55" spans="2:3" ht="12.75">
      <c r="B55" s="67">
        <v>0.54</v>
      </c>
      <c r="C55" s="68">
        <f t="shared" si="0"/>
        <v>32.68363884625795</v>
      </c>
    </row>
    <row r="56" spans="2:3" ht="12.75">
      <c r="B56" s="67">
        <v>0.55</v>
      </c>
      <c r="C56" s="68">
        <f t="shared" si="0"/>
        <v>33.36701296923175</v>
      </c>
    </row>
    <row r="57" spans="2:3" ht="12.75">
      <c r="B57" s="67">
        <v>0.56</v>
      </c>
      <c r="C57" s="68">
        <f t="shared" si="0"/>
        <v>34.05579774256791</v>
      </c>
    </row>
    <row r="58" spans="2:3" ht="12.75">
      <c r="B58" s="67">
        <v>0.57</v>
      </c>
      <c r="C58" s="68">
        <f t="shared" si="0"/>
        <v>34.75022575368246</v>
      </c>
    </row>
    <row r="59" spans="2:3" ht="12.75">
      <c r="B59" s="67">
        <v>0.58</v>
      </c>
      <c r="C59" s="68">
        <f t="shared" si="0"/>
        <v>35.45054263917541</v>
      </c>
    </row>
    <row r="60" spans="2:3" ht="12.75">
      <c r="B60" s="67">
        <v>0.59</v>
      </c>
      <c r="C60" s="68">
        <f t="shared" si="0"/>
        <v>36.15700820099883</v>
      </c>
    </row>
    <row r="61" spans="2:3" ht="12.75">
      <c r="B61" s="67">
        <v>0.6</v>
      </c>
      <c r="C61" s="68">
        <f t="shared" si="0"/>
        <v>36.86989764584402</v>
      </c>
    </row>
    <row r="62" spans="2:3" ht="12.75">
      <c r="B62" s="67">
        <v>0.61</v>
      </c>
      <c r="C62" s="68">
        <f t="shared" si="0"/>
        <v>37.58950296485686</v>
      </c>
    </row>
    <row r="63" spans="2:3" ht="12.75">
      <c r="B63" s="67">
        <v>0.62</v>
      </c>
      <c r="C63" s="68">
        <f t="shared" si="0"/>
        <v>38.31613447366574</v>
      </c>
    </row>
    <row r="64" spans="2:3" ht="12.75">
      <c r="B64" s="67">
        <v>0.63</v>
      </c>
      <c r="C64" s="68">
        <f t="shared" si="0"/>
        <v>39.050122536153495</v>
      </c>
    </row>
    <row r="65" spans="2:3" ht="12.75">
      <c r="B65" s="67">
        <v>0.64</v>
      </c>
      <c r="C65" s="68">
        <f t="shared" si="0"/>
        <v>39.791819499557235</v>
      </c>
    </row>
    <row r="66" spans="2:3" ht="12.75">
      <c r="B66" s="67">
        <v>0.65</v>
      </c>
      <c r="C66" s="68">
        <f t="shared" si="0"/>
        <v>40.54160187350452</v>
      </c>
    </row>
    <row r="67" spans="2:3" ht="12.75">
      <c r="B67" s="67">
        <v>0.66</v>
      </c>
      <c r="C67" s="68">
        <f aca="true" t="shared" si="1" ref="C67:C101">ASIN(B67)/(PI()/180)</f>
        <v>41.299872791705866</v>
      </c>
    </row>
    <row r="68" spans="2:3" ht="12.75">
      <c r="B68" s="67">
        <v>0.67</v>
      </c>
      <c r="C68" s="68">
        <f t="shared" si="1"/>
        <v>42.067064802495175</v>
      </c>
    </row>
    <row r="69" spans="2:3" ht="12.75">
      <c r="B69" s="67">
        <v>0.68</v>
      </c>
      <c r="C69" s="68">
        <f t="shared" si="1"/>
        <v>42.843643043596344</v>
      </c>
    </row>
    <row r="70" spans="2:3" ht="12.75">
      <c r="B70" s="67">
        <v>0.69</v>
      </c>
      <c r="C70" s="68">
        <f t="shared" si="1"/>
        <v>43.630108867854304</v>
      </c>
    </row>
    <row r="71" spans="2:3" ht="12.75">
      <c r="B71" s="67">
        <v>0.7</v>
      </c>
      <c r="C71" s="68">
        <f t="shared" si="1"/>
        <v>44.4270040008057</v>
      </c>
    </row>
    <row r="72" spans="2:3" ht="12.75">
      <c r="B72" s="67">
        <v>0.71</v>
      </c>
      <c r="C72" s="68">
        <f t="shared" si="1"/>
        <v>45.23491532867157</v>
      </c>
    </row>
    <row r="73" spans="2:3" ht="12.75">
      <c r="B73" s="67">
        <v>0.72</v>
      </c>
      <c r="C73" s="68">
        <f t="shared" si="1"/>
        <v>46.05448043769116</v>
      </c>
    </row>
    <row r="74" spans="2:3" ht="12.75">
      <c r="B74" s="67">
        <v>0.73</v>
      </c>
      <c r="C74" s="68">
        <f t="shared" si="1"/>
        <v>46.88639405410129</v>
      </c>
    </row>
    <row r="75" spans="2:3" ht="12.75">
      <c r="B75" s="67">
        <v>0.74</v>
      </c>
      <c r="C75" s="68">
        <f t="shared" si="1"/>
        <v>47.73141557042753</v>
      </c>
    </row>
    <row r="76" spans="2:3" ht="12.75">
      <c r="B76" s="67">
        <v>0.75</v>
      </c>
      <c r="C76" s="68">
        <f t="shared" si="1"/>
        <v>48.590377890729144</v>
      </c>
    </row>
    <row r="77" spans="2:3" ht="12.75">
      <c r="B77" s="67">
        <v>0.76</v>
      </c>
      <c r="C77" s="68">
        <f t="shared" si="1"/>
        <v>49.46419788868344</v>
      </c>
    </row>
    <row r="78" spans="2:3" ht="12.75">
      <c r="B78" s="67">
        <v>0.77</v>
      </c>
      <c r="C78" s="68">
        <f t="shared" si="1"/>
        <v>50.35388885302629</v>
      </c>
    </row>
    <row r="79" spans="2:3" ht="12.75">
      <c r="B79" s="67">
        <v>0.78</v>
      </c>
      <c r="C79" s="68">
        <f t="shared" si="1"/>
        <v>51.260575402144354</v>
      </c>
    </row>
    <row r="80" spans="2:3" ht="12.75">
      <c r="B80" s="67">
        <v>0.79</v>
      </c>
      <c r="C80" s="68">
        <f t="shared" si="1"/>
        <v>52.18551149398586</v>
      </c>
    </row>
    <row r="81" spans="2:3" ht="12.75">
      <c r="B81" s="67">
        <v>0.8</v>
      </c>
      <c r="C81" s="68">
        <f t="shared" si="1"/>
        <v>53.13010235415598</v>
      </c>
    </row>
    <row r="82" spans="2:3" ht="12.75">
      <c r="B82" s="67">
        <v>0.81</v>
      </c>
      <c r="C82" s="68">
        <f t="shared" si="1"/>
        <v>54.09593141668284</v>
      </c>
    </row>
    <row r="83" spans="2:3" ht="12.75">
      <c r="B83" s="67">
        <v>0.82</v>
      </c>
      <c r="C83" s="68">
        <f t="shared" si="1"/>
        <v>55.08479375255581</v>
      </c>
    </row>
    <row r="84" spans="2:3" ht="12.75">
      <c r="B84" s="67">
        <v>0.83</v>
      </c>
      <c r="C84" s="68">
        <f t="shared" si="1"/>
        <v>56.098738003133725</v>
      </c>
    </row>
    <row r="85" spans="2:3" ht="12.75">
      <c r="B85" s="67">
        <v>0.84</v>
      </c>
      <c r="C85" s="68">
        <f t="shared" si="1"/>
        <v>57.14011962111089</v>
      </c>
    </row>
    <row r="86" spans="2:3" ht="12.75">
      <c r="B86" s="67">
        <v>0.85</v>
      </c>
      <c r="C86" s="68">
        <f t="shared" si="1"/>
        <v>58.21166938294838</v>
      </c>
    </row>
    <row r="87" spans="2:3" ht="12.75">
      <c r="B87" s="67">
        <v>0.86</v>
      </c>
      <c r="C87" s="68">
        <f t="shared" si="1"/>
        <v>59.31658289102418</v>
      </c>
    </row>
    <row r="88" spans="2:3" ht="12.75">
      <c r="B88" s="67">
        <v>0.87</v>
      </c>
      <c r="C88" s="68">
        <f t="shared" si="1"/>
        <v>60.45863949985721</v>
      </c>
    </row>
    <row r="89" spans="2:3" ht="12.75">
      <c r="B89" s="67">
        <v>0.88</v>
      </c>
      <c r="C89" s="68">
        <f t="shared" si="1"/>
        <v>61.64236342367203</v>
      </c>
    </row>
    <row r="90" spans="2:3" ht="12.75">
      <c r="B90" s="67">
        <v>0.89</v>
      </c>
      <c r="C90" s="68">
        <f t="shared" si="1"/>
        <v>62.873246882726036</v>
      </c>
    </row>
    <row r="91" spans="2:3" ht="12.75">
      <c r="B91" s="67">
        <v>0.9</v>
      </c>
      <c r="C91" s="68">
        <f t="shared" si="1"/>
        <v>64.15806723683288</v>
      </c>
    </row>
    <row r="92" spans="2:3" ht="12.75">
      <c r="B92" s="67">
        <v>0.91</v>
      </c>
      <c r="C92" s="68">
        <f t="shared" si="1"/>
        <v>65.50535152858032</v>
      </c>
    </row>
    <row r="93" spans="2:3" ht="12.75">
      <c r="B93" s="67">
        <v>0.92</v>
      </c>
      <c r="C93" s="68">
        <f t="shared" si="1"/>
        <v>66.92608193436904</v>
      </c>
    </row>
    <row r="94" spans="2:3" ht="12.75">
      <c r="B94" s="67">
        <v>0.93</v>
      </c>
      <c r="C94" s="68">
        <f t="shared" si="1"/>
        <v>68.43481498475732</v>
      </c>
    </row>
    <row r="95" spans="2:3" ht="12.75">
      <c r="B95" s="67">
        <v>0.94</v>
      </c>
      <c r="C95" s="68">
        <f t="shared" si="1"/>
        <v>70.0515564111973</v>
      </c>
    </row>
    <row r="96" spans="2:3" ht="12.75">
      <c r="B96" s="67">
        <v>0.95</v>
      </c>
      <c r="C96" s="68">
        <f t="shared" si="1"/>
        <v>71.80512766123321</v>
      </c>
    </row>
    <row r="97" spans="2:3" ht="12.75">
      <c r="B97" s="67">
        <v>0.96</v>
      </c>
      <c r="C97" s="68">
        <f t="shared" si="1"/>
        <v>73.73979529168803</v>
      </c>
    </row>
    <row r="98" spans="2:3" ht="12.75">
      <c r="B98" s="67">
        <v>0.97</v>
      </c>
      <c r="C98" s="68">
        <f t="shared" si="1"/>
        <v>75.93013225242787</v>
      </c>
    </row>
    <row r="99" spans="2:3" ht="12.75">
      <c r="B99" s="67">
        <v>0.98</v>
      </c>
      <c r="C99" s="68">
        <f t="shared" si="1"/>
        <v>78.52165904546642</v>
      </c>
    </row>
    <row r="100" spans="2:3" ht="12.75">
      <c r="B100" s="67">
        <v>0.99</v>
      </c>
      <c r="C100" s="68">
        <f t="shared" si="1"/>
        <v>81.89038554400581</v>
      </c>
    </row>
    <row r="101" spans="2:3" ht="13.5" thickBot="1">
      <c r="B101" s="69">
        <v>1</v>
      </c>
      <c r="C101" s="70">
        <f t="shared" si="1"/>
        <v>90</v>
      </c>
    </row>
    <row r="102" ht="12.75">
      <c r="B102" s="64"/>
    </row>
    <row r="103" ht="12.75">
      <c r="B103" s="64"/>
    </row>
    <row r="104" ht="12.75">
      <c r="B104" s="64"/>
    </row>
    <row r="105" ht="12.75">
      <c r="B105" s="64"/>
    </row>
    <row r="106" ht="12.75">
      <c r="B106" s="64"/>
    </row>
    <row r="107" ht="12.75">
      <c r="B107" s="64"/>
    </row>
    <row r="108" ht="12.75">
      <c r="B108" s="64"/>
    </row>
    <row r="109" ht="12.75">
      <c r="B109" s="64"/>
    </row>
    <row r="110" ht="12.75">
      <c r="B110" s="64"/>
    </row>
    <row r="111" ht="12.75">
      <c r="B111" s="64"/>
    </row>
    <row r="112" ht="12.75">
      <c r="B112" s="64"/>
    </row>
    <row r="113" ht="12.75">
      <c r="B113" s="64"/>
    </row>
    <row r="114" ht="12.75">
      <c r="B114" s="64"/>
    </row>
    <row r="115" ht="12.75">
      <c r="B115" s="64"/>
    </row>
    <row r="116" ht="12.75">
      <c r="B116" s="64"/>
    </row>
    <row r="117" ht="12.75">
      <c r="B117" s="64"/>
    </row>
    <row r="118" ht="12.75">
      <c r="B118" s="64"/>
    </row>
    <row r="119" ht="12.75">
      <c r="B119" s="64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RAETA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Dodds</dc:creator>
  <cp:keywords/>
  <dc:description/>
  <cp:lastModifiedBy>Peter Dodds</cp:lastModifiedBy>
  <dcterms:created xsi:type="dcterms:W3CDTF">2001-11-02T22:58:05Z</dcterms:created>
  <dcterms:modified xsi:type="dcterms:W3CDTF">2012-10-09T16:27:22Z</dcterms:modified>
  <cp:category/>
  <cp:version/>
  <cp:contentType/>
  <cp:contentStatus/>
</cp:coreProperties>
</file>